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255" windowWidth="156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6" i="1" l="1"/>
  <c r="AH14" i="1"/>
  <c r="AF12" i="1"/>
  <c r="AF11" i="1"/>
  <c r="AF8" i="1"/>
  <c r="AF7" i="1"/>
  <c r="AF13" i="1"/>
  <c r="V12" i="1"/>
  <c r="V11" i="1"/>
  <c r="V13" i="1" s="1"/>
  <c r="V14" i="1" s="1"/>
  <c r="AG15" i="1" s="1"/>
  <c r="AG14" i="1"/>
  <c r="V10" i="1"/>
  <c r="V7" i="1" l="1"/>
  <c r="V6" i="1" s="1"/>
  <c r="V9" i="1" s="1"/>
  <c r="W38" i="1"/>
  <c r="Y34" i="1"/>
  <c r="Y35" i="1" s="1"/>
  <c r="Y37" i="1" s="1"/>
  <c r="Y39" i="1" s="1"/>
  <c r="W30" i="1"/>
  <c r="K34" i="1" l="1"/>
  <c r="J34" i="1"/>
  <c r="G28" i="1" l="1"/>
  <c r="I32" i="1"/>
  <c r="I31" i="1"/>
  <c r="I30" i="1"/>
  <c r="I28" i="1"/>
  <c r="I10" i="1"/>
  <c r="G27" i="1"/>
  <c r="I27" i="1" s="1"/>
  <c r="I25" i="1"/>
  <c r="I24" i="1"/>
  <c r="I23" i="1"/>
  <c r="I21" i="1"/>
  <c r="I20" i="1"/>
  <c r="I19" i="1"/>
  <c r="I18" i="1"/>
  <c r="I17" i="1"/>
  <c r="I16" i="1"/>
  <c r="I14" i="1"/>
  <c r="I13" i="1"/>
  <c r="G12" i="1" l="1"/>
  <c r="I12" i="1" s="1"/>
  <c r="G9" i="1"/>
  <c r="I9" i="1" l="1"/>
  <c r="I7" i="1"/>
  <c r="G6" i="1"/>
  <c r="I6" i="1" s="1"/>
  <c r="I15" i="1"/>
  <c r="I11" i="1" l="1"/>
  <c r="I33" i="1"/>
  <c r="I22" i="1"/>
  <c r="I8" i="1"/>
  <c r="I26" i="1"/>
  <c r="I29" i="1" l="1"/>
  <c r="I34" i="1" s="1"/>
  <c r="O32" i="1" s="1"/>
  <c r="O33" i="1" l="1"/>
  <c r="O35" i="1" s="1"/>
  <c r="O37" i="1" s="1"/>
  <c r="I35" i="1"/>
  <c r="D44" i="1"/>
  <c r="E44" i="1"/>
  <c r="K35" i="1" l="1"/>
  <c r="J35" i="1"/>
  <c r="J36" i="1" s="1"/>
  <c r="I36" i="1"/>
  <c r="I37" i="1" s="1"/>
  <c r="I38" i="1" s="1"/>
  <c r="K41" i="1" l="1"/>
  <c r="M28" i="1"/>
  <c r="D38" i="1"/>
  <c r="E45" i="1"/>
  <c r="K36" i="1"/>
  <c r="J37" i="1"/>
  <c r="J38" i="1" s="1"/>
  <c r="F51" i="1" l="1"/>
  <c r="F52" i="1" s="1"/>
  <c r="F53" i="1" s="1"/>
  <c r="M36" i="1"/>
  <c r="K37" i="1"/>
  <c r="K38" i="1" s="1"/>
  <c r="G54" i="1" l="1"/>
  <c r="E42" i="1"/>
  <c r="G51" i="1"/>
  <c r="G52" i="1" s="1"/>
  <c r="G53" i="1" l="1"/>
  <c r="G55" i="1" s="1"/>
  <c r="I52" i="1"/>
  <c r="I51" i="1"/>
  <c r="J51" i="1" s="1"/>
  <c r="H55" i="1" l="1"/>
  <c r="I55" i="1" s="1"/>
  <c r="J52" i="1"/>
  <c r="AF9" i="1"/>
  <c r="AF10" i="1"/>
  <c r="AF14" i="1" s="1"/>
  <c r="AH16" i="1" l="1"/>
  <c r="AH17" i="1" s="1"/>
  <c r="AH15" i="1"/>
</calcChain>
</file>

<file path=xl/sharedStrings.xml><?xml version="1.0" encoding="utf-8"?>
<sst xmlns="http://schemas.openxmlformats.org/spreadsheetml/2006/main" count="199" uniqueCount="120">
  <si>
    <t>No.</t>
  </si>
  <si>
    <t>Budget Item</t>
  </si>
  <si>
    <t xml:space="preserve">Emergency employment for basic local service delivery </t>
  </si>
  <si>
    <t>Emergency support to disrupted livelihoods</t>
  </si>
  <si>
    <t>Emergency support to women headed households</t>
  </si>
  <si>
    <t>Emergency support and rehabilitation of persons with disability</t>
  </si>
  <si>
    <t xml:space="preserve">Support to social cohesion and community resilience </t>
  </si>
  <si>
    <t xml:space="preserve">Technical assistance and project management </t>
  </si>
  <si>
    <t>Total Direct Costs of the Action</t>
  </si>
  <si>
    <t>Total Indirect Cost of the Action (F&amp;A)</t>
  </si>
  <si>
    <t>Total Eligible Costs of the Action</t>
  </si>
  <si>
    <t>Tools and equipment for employment schemes</t>
  </si>
  <si>
    <t>2 prosthetic workshops</t>
  </si>
  <si>
    <t>Rapid employment schemes costs (960 jobs created for the duration of 4 months)</t>
  </si>
  <si>
    <t>Vocational training for 800 persons</t>
  </si>
  <si>
    <t>Start-up kits for 700 women</t>
  </si>
  <si>
    <t>Training for 900 women</t>
  </si>
  <si>
    <t>Rehabilitation services for 500 patients</t>
  </si>
  <si>
    <t xml:space="preserve">2 Psychosocial support centers </t>
  </si>
  <si>
    <t xml:space="preserve">Start-up toolkits for 150 persons </t>
  </si>
  <si>
    <t>Vocational training for 300 persons</t>
  </si>
  <si>
    <t>Technical staff (7 persons)</t>
  </si>
  <si>
    <t xml:space="preserve">Administrative/ support staff (4 persons) </t>
  </si>
  <si>
    <t>Logistics and support</t>
  </si>
  <si>
    <t xml:space="preserve">Visibility and publications </t>
  </si>
  <si>
    <t xml:space="preserve">Consumables, office equipment, security mitigation costs </t>
  </si>
  <si>
    <t>Third party monitoring</t>
  </si>
  <si>
    <t>Budget Notes</t>
  </si>
  <si>
    <t xml:space="preserve">This budget line refers to the establishment of emergency employment scheme under Component 1. The budget is estimated as following: (1) An emergency employment scheme generating 960 jobs for the duration of 4 months- the working month being equivalent to 24 days; and (2) cost of tools and equipment that will be procured for labourers participating in the emergency employment schemes.     </t>
  </si>
  <si>
    <t>This budget line refers to Component 2. In order to restore disrupted livelihoods in affected communities, vocational trainings will be availed to 800 persons and start-up kits and asset replacement will be provided to 1,000 beneficiaries.</t>
  </si>
  <si>
    <t xml:space="preserve">This budget line refers to Component 3. Cash for work opportunities will be created for 700 women who will also benefit from the distribution of 700 start-up kits. In parallel, vocational training will be delivered to 900 women participants. </t>
  </si>
  <si>
    <t xml:space="preserve">This budget line refers to Component 4 on supporting people with disabilities (PWD). PWD will be provided with (1) disability aids (such as Wheelchairs, prosthetics, water and medical mattresses, etc.); (2) 500 rehabilitation sessions for at least 60 patients; (3) 300 vocational training opportunities; and (4) 150 start-up toolkits. 2 psychosocial support centres and 2 prosthetic workshops will be established and supported to provide services and more employment opportunities for PWD.   </t>
  </si>
  <si>
    <t xml:space="preserve">This budget line refers to Component 5 on social cohesion and community resilience. Trainings will be provided to 70 NGOs/ CBOs on livelihoods and early recovery concepts including social cohesion and community resilience from planning phases to implementation, monitoring and evaluation. Community-based activities will be implemented in 4 governorates to bring people together on non-threatening issues such as theatre, music, drama, food for peace. </t>
  </si>
  <si>
    <t xml:space="preserve">This budget line includes costs relating to office equipment, consumables and communication, visibility, security mitigation measures in field locations and third party monitoring </t>
  </si>
  <si>
    <t>NGO capacity development - 70 NGOs</t>
  </si>
  <si>
    <t>168 Euros per person/ month</t>
  </si>
  <si>
    <t>269 Euros equipment cost per job (including tools, protective clothes, waste bins, light equipment, etc.)</t>
  </si>
  <si>
    <t>500 Euros training cost per person on average</t>
  </si>
  <si>
    <t>Cash for work opportunities for 700 women for the duration of 4 months</t>
  </si>
  <si>
    <t>Start-up kits and assets for 1,000 beneficiaries</t>
  </si>
  <si>
    <t>500 Euros per kit on average depending on the craft and tools and equipment needed</t>
  </si>
  <si>
    <t xml:space="preserve">250 Euros per person on average </t>
  </si>
  <si>
    <t>75,000 Euros per workshop</t>
  </si>
  <si>
    <t xml:space="preserve">60 Euros per patient </t>
  </si>
  <si>
    <t>250 Euros training cost per woman. It is cheaper than other tools given the type of crafts women often choose (sewing, food processing, hairdressing, etc.)</t>
  </si>
  <si>
    <t>Disability aids (Wheelchairs, prosthetics, etc.) for 1,700 persons</t>
  </si>
  <si>
    <t>237 Euros on average per person depending on the type of disability aid needed, prosthetics and hearing aids being the most expensive.</t>
  </si>
  <si>
    <t>300 Euros per kit including tools, equipment and basic supplies to start an income generating activity depending on craft and/ or vocational training received</t>
  </si>
  <si>
    <t>250 training cost per person</t>
  </si>
  <si>
    <t>Refer to budget notes</t>
  </si>
  <si>
    <t>25 NGO grants</t>
  </si>
  <si>
    <t>10,000 Euros per grant</t>
  </si>
  <si>
    <t>Community based activities (theatre, music, drama, food for peace) in 4 Governorates</t>
  </si>
  <si>
    <t>75,000 Euros per Governorate</t>
  </si>
  <si>
    <t>For the proposed 2-year duration, 4,688 Euros average monthly salary for 7 persons for technical staff</t>
  </si>
  <si>
    <t>25,000 Euros per centre, including operating costs for 12 months.</t>
  </si>
  <si>
    <t>For the proposed 2-year duration, 1,211 Euros average monthly salary for 4 persons admin staff</t>
  </si>
  <si>
    <t>For the proposed 2-year duration on average per month for field offices and Damascus-based unit. Saving is factored for project teams co-located in UN hubs (cost-sharing with other agencies) and UNDP Damascus Office</t>
  </si>
  <si>
    <r>
      <t>This budget line refers to national and international, technical (7 in total) and administrative/ support (4 in total) staff that will further elaborate on and roll-out activities under the 5 components.</t>
    </r>
    <r>
      <rPr>
        <sz val="11"/>
        <color theme="1"/>
        <rFont val="Calibri"/>
        <family val="2"/>
        <scheme val="minor"/>
      </rPr>
      <t xml:space="preserve"> Support staff will follow on procurement, finance, administrative and logistics.</t>
    </r>
  </si>
  <si>
    <t>SUB-TOTAL</t>
  </si>
  <si>
    <t>Annex III - Budget of the Action ENPI/2013/335-626</t>
  </si>
  <si>
    <t>Total</t>
  </si>
  <si>
    <t>Unit</t>
  </si>
  <si>
    <t>No of units</t>
  </si>
  <si>
    <t>Unit rate</t>
  </si>
  <si>
    <t>Per person per month</t>
  </si>
  <si>
    <t>Per person</t>
  </si>
  <si>
    <t xml:space="preserve">Per person </t>
  </si>
  <si>
    <t>Per workshop</t>
  </si>
  <si>
    <t>Per center</t>
  </si>
  <si>
    <t>Per NGO</t>
  </si>
  <si>
    <t>Per Governate</t>
  </si>
  <si>
    <t>Per month</t>
  </si>
  <si>
    <t>Per action</t>
  </si>
  <si>
    <t>Per evaluation</t>
  </si>
  <si>
    <t>Total year 1</t>
  </si>
  <si>
    <t>Total year 2</t>
  </si>
  <si>
    <t>0-12</t>
  </si>
  <si>
    <t>13-24</t>
  </si>
  <si>
    <t>1st year</t>
  </si>
  <si>
    <t xml:space="preserve">2nd </t>
  </si>
  <si>
    <t>95% of EU contribution</t>
  </si>
  <si>
    <t>5% of EU contribution</t>
  </si>
  <si>
    <t>Total payment</t>
  </si>
  <si>
    <t>EU Indirect costs</t>
  </si>
  <si>
    <t>Other indirtect costs</t>
  </si>
  <si>
    <t>Balance</t>
  </si>
  <si>
    <t>CHECK</t>
  </si>
  <si>
    <t>EU % of dirrect costs</t>
  </si>
  <si>
    <t>EU indirect costs</t>
  </si>
  <si>
    <t>Amount avilable</t>
  </si>
  <si>
    <t>EU contribution of direct costs</t>
  </si>
  <si>
    <t>EU total contribution</t>
  </si>
  <si>
    <t>Total amount</t>
  </si>
  <si>
    <t>EU proportion (89.450 %)</t>
  </si>
  <si>
    <t>Months</t>
  </si>
  <si>
    <t>Fund</t>
  </si>
  <si>
    <t>Donor</t>
  </si>
  <si>
    <t>Implementing
Partner</t>
  </si>
  <si>
    <t>Activity</t>
  </si>
  <si>
    <t>Budget
Line</t>
  </si>
  <si>
    <t>BL
Description</t>
  </si>
  <si>
    <t>Amount</t>
  </si>
  <si>
    <t>Dept.
ID</t>
  </si>
  <si>
    <t>COA</t>
  </si>
  <si>
    <t>Output</t>
  </si>
  <si>
    <t>AWP-2014</t>
  </si>
  <si>
    <t>B0472</t>
  </si>
  <si>
    <t>SYR10</t>
  </si>
  <si>
    <t>Activity1</t>
  </si>
  <si>
    <t>AWP-2015</t>
  </si>
  <si>
    <t>Contractual Services-Individuals</t>
  </si>
  <si>
    <t>Contractual Services-Companies</t>
  </si>
  <si>
    <t>Grants</t>
  </si>
  <si>
    <t>F&amp;A</t>
  </si>
  <si>
    <t>Budget
Unit</t>
  </si>
  <si>
    <t>Sub-Total Output 1</t>
  </si>
  <si>
    <t>Sub-Total Activity 1</t>
  </si>
  <si>
    <t>Activity2</t>
  </si>
  <si>
    <t>Sub-Total Activity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</si>
</sst>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00"/>
    <numFmt numFmtId="167" formatCode="_(* #,##0_);_(* \(#,##0\);_(* &quot;-&quot;??_);_(@_)"/>
    <numFmt numFmtId="168" formatCode="&quot;€&quot;#,##0.00"/>
    <numFmt numFmtId="169" formatCode="&quot;€&quot;#,##0.000"/>
    <numFmt numFmtId="170" formatCode="0.000%"/>
    <numFmt numFmtId="171" formatCode="[$€-2]\ #,##0_);[Red]\([$€-2]\ #,##0\)"/>
    <numFmt numFmtId="172" formatCode="[$€-2]\ #,##0.00_);[Red]\([$€-2]\ 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165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165" fontId="11" fillId="5" borderId="7" xfId="1" applyNumberFormat="1" applyFont="1" applyFill="1" applyBorder="1" applyAlignment="1">
      <alignment horizontal="center" wrapText="1"/>
    </xf>
    <xf numFmtId="10" fontId="4" fillId="5" borderId="7" xfId="22" applyNumberFormat="1" applyFont="1" applyFill="1" applyBorder="1" applyAlignment="1">
      <alignment horizontal="right" vertical="center" wrapText="1"/>
    </xf>
    <xf numFmtId="10" fontId="13" fillId="5" borderId="7" xfId="22" applyNumberFormat="1" applyFont="1" applyFill="1" applyBorder="1" applyAlignment="1">
      <alignment horizontal="left" vertical="center" wrapText="1"/>
    </xf>
    <xf numFmtId="10" fontId="13" fillId="5" borderId="7" xfId="22" applyNumberFormat="1" applyFont="1" applyFill="1" applyBorder="1" applyAlignment="1">
      <alignment horizontal="right" vertical="center" wrapText="1"/>
    </xf>
    <xf numFmtId="165" fontId="11" fillId="5" borderId="9" xfId="1" applyNumberFormat="1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vertical="center" wrapText="1"/>
    </xf>
    <xf numFmtId="165" fontId="11" fillId="7" borderId="10" xfId="1" applyNumberFormat="1" applyFont="1" applyFill="1" applyBorder="1" applyAlignment="1">
      <alignment horizontal="center" wrapText="1"/>
    </xf>
    <xf numFmtId="0" fontId="11" fillId="7" borderId="10" xfId="0" applyFont="1" applyFill="1" applyBorder="1" applyAlignment="1">
      <alignment vertical="center" wrapText="1"/>
    </xf>
    <xf numFmtId="169" fontId="0" fillId="0" borderId="0" xfId="0" applyNumberFormat="1"/>
    <xf numFmtId="169" fontId="0" fillId="0" borderId="0" xfId="0" applyNumberFormat="1" applyBorder="1"/>
    <xf numFmtId="169" fontId="0" fillId="0" borderId="0" xfId="0" applyNumberFormat="1" applyAlignment="1">
      <alignment wrapText="1"/>
    </xf>
    <xf numFmtId="169" fontId="2" fillId="0" borderId="0" xfId="0" applyNumberFormat="1" applyFont="1"/>
    <xf numFmtId="165" fontId="11" fillId="0" borderId="7" xfId="1" applyNumberFormat="1" applyFont="1" applyBorder="1" applyAlignment="1">
      <alignment horizontal="center" wrapText="1"/>
    </xf>
    <xf numFmtId="0" fontId="11" fillId="0" borderId="7" xfId="0" applyFont="1" applyBorder="1" applyAlignment="1">
      <alignment vertical="center" wrapText="1"/>
    </xf>
    <xf numFmtId="167" fontId="11" fillId="0" borderId="7" xfId="1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165" fontId="0" fillId="0" borderId="9" xfId="1" applyNumberFormat="1" applyFont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vertical="center" wrapText="1"/>
    </xf>
    <xf numFmtId="3" fontId="5" fillId="5" borderId="13" xfId="0" applyNumberFormat="1" applyFont="1" applyFill="1" applyBorder="1" applyAlignment="1">
      <alignment horizontal="right" vertical="center" wrapText="1"/>
    </xf>
    <xf numFmtId="165" fontId="11" fillId="5" borderId="13" xfId="1" applyNumberFormat="1" applyFont="1" applyFill="1" applyBorder="1" applyAlignment="1">
      <alignment horizontal="center" wrapText="1"/>
    </xf>
    <xf numFmtId="0" fontId="12" fillId="5" borderId="13" xfId="0" applyFont="1" applyFill="1" applyBorder="1" applyAlignment="1">
      <alignment vertical="center" wrapText="1"/>
    </xf>
    <xf numFmtId="0" fontId="11" fillId="5" borderId="13" xfId="0" applyFont="1" applyFill="1" applyBorder="1" applyAlignment="1">
      <alignment vertical="center" wrapText="1"/>
    </xf>
    <xf numFmtId="165" fontId="11" fillId="0" borderId="9" xfId="1" applyNumberFormat="1" applyFont="1" applyBorder="1" applyAlignment="1">
      <alignment horizont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7" borderId="10" xfId="0" applyFont="1" applyFill="1" applyBorder="1" applyAlignment="1">
      <alignment horizontal="right" vertical="center" wrapText="1"/>
    </xf>
    <xf numFmtId="0" fontId="12" fillId="7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right" vertical="center" wrapText="1"/>
    </xf>
    <xf numFmtId="167" fontId="11" fillId="0" borderId="9" xfId="1" applyNumberFormat="1" applyFont="1" applyBorder="1" applyAlignment="1">
      <alignment horizontal="right" vertical="center" wrapText="1"/>
    </xf>
    <xf numFmtId="165" fontId="0" fillId="0" borderId="10" xfId="1" applyNumberFormat="1" applyFont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167" fontId="11" fillId="7" borderId="10" xfId="0" applyNumberFormat="1" applyFont="1" applyFill="1" applyBorder="1" applyAlignment="1">
      <alignment horizontal="right" vertical="center" wrapText="1"/>
    </xf>
    <xf numFmtId="169" fontId="2" fillId="3" borderId="18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169" fontId="11" fillId="0" borderId="18" xfId="1" applyNumberFormat="1" applyFont="1" applyBorder="1" applyAlignment="1">
      <alignment vertical="center" wrapText="1"/>
    </xf>
    <xf numFmtId="169" fontId="11" fillId="0" borderId="1" xfId="1" applyNumberFormat="1" applyFont="1" applyBorder="1" applyAlignment="1">
      <alignment vertical="center" wrapText="1"/>
    </xf>
    <xf numFmtId="169" fontId="12" fillId="7" borderId="2" xfId="1" applyNumberFormat="1" applyFont="1" applyFill="1" applyBorder="1" applyAlignment="1">
      <alignment vertical="center" wrapText="1"/>
    </xf>
    <xf numFmtId="169" fontId="11" fillId="0" borderId="18" xfId="0" applyNumberFormat="1" applyFont="1" applyBorder="1" applyAlignment="1">
      <alignment vertical="center" wrapText="1"/>
    </xf>
    <xf numFmtId="169" fontId="11" fillId="0" borderId="1" xfId="0" applyNumberFormat="1" applyFont="1" applyBorder="1" applyAlignment="1">
      <alignment vertical="center" wrapText="1"/>
    </xf>
    <xf numFmtId="169" fontId="12" fillId="5" borderId="11" xfId="0" applyNumberFormat="1" applyFont="1" applyFill="1" applyBorder="1" applyAlignment="1">
      <alignment vertical="center" wrapText="1"/>
    </xf>
    <xf numFmtId="169" fontId="11" fillId="5" borderId="18" xfId="0" applyNumberFormat="1" applyFont="1" applyFill="1" applyBorder="1" applyAlignment="1">
      <alignment vertical="center" wrapText="1"/>
    </xf>
    <xf numFmtId="169" fontId="12" fillId="5" borderId="1" xfId="0" applyNumberFormat="1" applyFont="1" applyFill="1" applyBorder="1" applyAlignment="1">
      <alignment vertical="center" wrapText="1"/>
    </xf>
    <xf numFmtId="169" fontId="14" fillId="6" borderId="11" xfId="0" applyNumberFormat="1" applyFont="1" applyFill="1" applyBorder="1" applyAlignment="1">
      <alignment horizontal="right" vertical="center" wrapText="1"/>
    </xf>
    <xf numFmtId="0" fontId="0" fillId="5" borderId="20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8" xfId="0" applyFill="1" applyBorder="1" applyAlignment="1">
      <alignment wrapText="1"/>
    </xf>
    <xf numFmtId="169" fontId="2" fillId="3" borderId="22" xfId="0" applyNumberFormat="1" applyFont="1" applyFill="1" applyBorder="1" applyAlignment="1">
      <alignment horizontal="center" vertical="center" wrapText="1"/>
    </xf>
    <xf numFmtId="169" fontId="2" fillId="3" borderId="11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168" fontId="11" fillId="0" borderId="23" xfId="0" applyNumberFormat="1" applyFont="1" applyBorder="1" applyAlignment="1">
      <alignment vertical="center" wrapText="1"/>
    </xf>
    <xf numFmtId="168" fontId="11" fillId="0" borderId="25" xfId="0" applyNumberFormat="1" applyFont="1" applyBorder="1" applyAlignment="1">
      <alignment vertical="center" wrapText="1"/>
    </xf>
    <xf numFmtId="168" fontId="11" fillId="7" borderId="24" xfId="0" applyNumberFormat="1" applyFont="1" applyFill="1" applyBorder="1" applyAlignment="1">
      <alignment vertical="center" wrapText="1"/>
    </xf>
    <xf numFmtId="168" fontId="11" fillId="0" borderId="23" xfId="1" applyNumberFormat="1" applyFont="1" applyBorder="1" applyAlignment="1">
      <alignment vertical="center" wrapText="1"/>
    </xf>
    <xf numFmtId="168" fontId="11" fillId="0" borderId="25" xfId="1" applyNumberFormat="1" applyFont="1" applyBorder="1" applyAlignment="1">
      <alignment vertical="center" wrapText="1"/>
    </xf>
    <xf numFmtId="168" fontId="12" fillId="7" borderId="24" xfId="0" applyNumberFormat="1" applyFont="1" applyFill="1" applyBorder="1" applyAlignment="1">
      <alignment vertical="center" wrapText="1"/>
    </xf>
    <xf numFmtId="168" fontId="11" fillId="5" borderId="26" xfId="0" applyNumberFormat="1" applyFont="1" applyFill="1" applyBorder="1" applyAlignment="1">
      <alignment vertical="center" wrapText="1"/>
    </xf>
    <xf numFmtId="0" fontId="11" fillId="5" borderId="23" xfId="0" applyFont="1" applyFill="1" applyBorder="1" applyAlignment="1">
      <alignment vertical="center" wrapText="1"/>
    </xf>
    <xf numFmtId="10" fontId="13" fillId="5" borderId="25" xfId="22" applyNumberFormat="1" applyFont="1" applyFill="1" applyBorder="1" applyAlignment="1">
      <alignment horizontal="right" vertical="center" wrapText="1"/>
    </xf>
    <xf numFmtId="4" fontId="14" fillId="6" borderId="26" xfId="0" applyNumberFormat="1" applyFont="1" applyFill="1" applyBorder="1" applyAlignment="1">
      <alignment vertical="center" wrapText="1"/>
    </xf>
    <xf numFmtId="4" fontId="14" fillId="6" borderId="6" xfId="0" applyNumberFormat="1" applyFont="1" applyFill="1" applyBorder="1" applyAlignment="1">
      <alignment vertical="center" wrapText="1"/>
    </xf>
    <xf numFmtId="0" fontId="0" fillId="0" borderId="7" xfId="0" applyBorder="1"/>
    <xf numFmtId="169" fontId="0" fillId="0" borderId="7" xfId="0" applyNumberFormat="1" applyBorder="1"/>
    <xf numFmtId="169" fontId="0" fillId="0" borderId="7" xfId="0" applyNumberFormat="1" applyBorder="1" applyAlignment="1">
      <alignment horizontal="left"/>
    </xf>
    <xf numFmtId="166" fontId="0" fillId="0" borderId="7" xfId="0" applyNumberFormat="1" applyBorder="1"/>
    <xf numFmtId="43" fontId="0" fillId="0" borderId="7" xfId="1" applyFont="1" applyBorder="1"/>
    <xf numFmtId="164" fontId="0" fillId="0" borderId="7" xfId="0" applyNumberFormat="1" applyBorder="1"/>
    <xf numFmtId="166" fontId="2" fillId="0" borderId="7" xfId="0" applyNumberFormat="1" applyFont="1" applyBorder="1"/>
    <xf numFmtId="166" fontId="0" fillId="0" borderId="7" xfId="0" applyNumberFormat="1" applyFont="1" applyBorder="1"/>
    <xf numFmtId="16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8" fontId="0" fillId="0" borderId="0" xfId="0" applyNumberFormat="1"/>
    <xf numFmtId="164" fontId="3" fillId="0" borderId="0" xfId="0" applyNumberFormat="1" applyFont="1"/>
    <xf numFmtId="170" fontId="0" fillId="0" borderId="0" xfId="22" applyNumberFormat="1" applyFont="1"/>
    <xf numFmtId="168" fontId="0" fillId="0" borderId="0" xfId="22" applyNumberFormat="1" applyFont="1"/>
    <xf numFmtId="168" fontId="0" fillId="0" borderId="7" xfId="0" applyNumberFormat="1" applyBorder="1"/>
    <xf numFmtId="0" fontId="4" fillId="5" borderId="17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right" wrapText="1"/>
    </xf>
    <xf numFmtId="0" fontId="11" fillId="8" borderId="9" xfId="0" applyFont="1" applyFill="1" applyBorder="1" applyAlignment="1">
      <alignment vertical="center" wrapText="1"/>
    </xf>
    <xf numFmtId="0" fontId="11" fillId="8" borderId="9" xfId="0" applyFont="1" applyFill="1" applyBorder="1" applyAlignment="1">
      <alignment horizontal="right" vertical="center" wrapText="1"/>
    </xf>
    <xf numFmtId="168" fontId="11" fillId="8" borderId="23" xfId="0" applyNumberFormat="1" applyFont="1" applyFill="1" applyBorder="1" applyAlignment="1">
      <alignment vertical="center" wrapText="1"/>
    </xf>
    <xf numFmtId="169" fontId="11" fillId="8" borderId="18" xfId="0" applyNumberFormat="1" applyFont="1" applyFill="1" applyBorder="1" applyAlignment="1">
      <alignment vertical="center" wrapText="1"/>
    </xf>
    <xf numFmtId="0" fontId="0" fillId="8" borderId="20" xfId="0" applyFill="1" applyBorder="1" applyAlignment="1">
      <alignment vertical="center" wrapText="1"/>
    </xf>
    <xf numFmtId="3" fontId="2" fillId="0" borderId="0" xfId="0" applyNumberFormat="1" applyFont="1" applyAlignment="1">
      <alignment horizontal="left" wrapText="1"/>
    </xf>
    <xf numFmtId="3" fontId="15" fillId="0" borderId="0" xfId="0" applyNumberFormat="1" applyFont="1" applyAlignment="1">
      <alignment wrapText="1"/>
    </xf>
    <xf numFmtId="1" fontId="0" fillId="0" borderId="0" xfId="0" applyNumberFormat="1"/>
    <xf numFmtId="1" fontId="3" fillId="0" borderId="0" xfId="0" applyNumberFormat="1" applyFont="1"/>
    <xf numFmtId="1" fontId="2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165" fontId="0" fillId="0" borderId="28" xfId="1" applyNumberFormat="1" applyFont="1" applyBorder="1" applyAlignment="1">
      <alignment horizont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3" borderId="4" xfId="0" applyNumberFormat="1" applyFont="1" applyFill="1" applyBorder="1" applyAlignment="1">
      <alignment horizontal="center" vertical="center" wrapText="1"/>
    </xf>
    <xf numFmtId="3" fontId="4" fillId="4" borderId="3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" fontId="0" fillId="0" borderId="7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vertical="center" wrapText="1"/>
    </xf>
    <xf numFmtId="1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1" fontId="0" fillId="0" borderId="7" xfId="0" applyNumberFormat="1" applyBorder="1" applyAlignment="1">
      <alignment vertical="center" wrapText="1"/>
    </xf>
    <xf numFmtId="1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1" fontId="0" fillId="0" borderId="32" xfId="0" applyNumberForma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" fontId="0" fillId="0" borderId="34" xfId="0" applyNumberFormat="1" applyBorder="1" applyAlignment="1">
      <alignment vertical="center" wrapText="1"/>
    </xf>
    <xf numFmtId="171" fontId="0" fillId="0" borderId="33" xfId="0" applyNumberFormat="1" applyBorder="1" applyAlignment="1">
      <alignment vertical="center"/>
    </xf>
    <xf numFmtId="171" fontId="0" fillId="0" borderId="35" xfId="0" applyNumberForma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171" fontId="0" fillId="0" borderId="33" xfId="0" applyNumberFormat="1" applyBorder="1" applyAlignment="1">
      <alignment horizontal="right" vertical="center"/>
    </xf>
    <xf numFmtId="171" fontId="0" fillId="0" borderId="33" xfId="0" applyNumberFormat="1" applyFont="1" applyBorder="1" applyAlignment="1">
      <alignment horizontal="right" vertical="center" wrapText="1"/>
    </xf>
    <xf numFmtId="171" fontId="2" fillId="0" borderId="33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72" fontId="0" fillId="0" borderId="33" xfId="0" applyNumberFormat="1" applyBorder="1" applyAlignment="1">
      <alignment horizontal="right" vertical="center"/>
    </xf>
    <xf numFmtId="172" fontId="2" fillId="0" borderId="0" xfId="0" applyNumberFormat="1" applyFont="1"/>
    <xf numFmtId="171" fontId="2" fillId="0" borderId="33" xfId="0" applyNumberFormat="1" applyFont="1" applyBorder="1" applyAlignment="1">
      <alignment vertical="center"/>
    </xf>
    <xf numFmtId="169" fontId="2" fillId="8" borderId="0" xfId="0" applyNumberFormat="1" applyFont="1" applyFill="1"/>
    <xf numFmtId="0" fontId="2" fillId="8" borderId="0" xfId="0" applyFont="1" applyFill="1"/>
    <xf numFmtId="3" fontId="0" fillId="0" borderId="1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2" fillId="9" borderId="0" xfId="0" applyFont="1" applyFill="1"/>
    <xf numFmtId="3" fontId="2" fillId="0" borderId="33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Border="1" applyAlignment="1">
      <alignment horizontal="center" wrapText="1"/>
    </xf>
    <xf numFmtId="0" fontId="0" fillId="0" borderId="0" xfId="0" applyAlignment="1"/>
    <xf numFmtId="0" fontId="0" fillId="5" borderId="9" xfId="0" applyFont="1" applyFill="1" applyBorder="1" applyAlignment="1">
      <alignment horizontal="justify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" fontId="0" fillId="0" borderId="37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</cellXfs>
  <cellStyles count="2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Percent" xfId="2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Himmel">
      <a:dk1>
        <a:sysClr val="windowText" lastClr="000000"/>
      </a:dk1>
      <a:lt1>
        <a:sysClr val="window" lastClr="FFFFFF"/>
      </a:lt1>
      <a:dk2>
        <a:srgbClr val="1782BF"/>
      </a:dk2>
      <a:lt2>
        <a:srgbClr val="62BCE9"/>
      </a:lt2>
      <a:accent1>
        <a:srgbClr val="073779"/>
      </a:accent1>
      <a:accent2>
        <a:srgbClr val="8FD9FB"/>
      </a:accent2>
      <a:accent3>
        <a:srgbClr val="FFCC00"/>
      </a:accent3>
      <a:accent4>
        <a:srgbClr val="EB6615"/>
      </a:accent4>
      <a:accent5>
        <a:srgbClr val="C76402"/>
      </a:accent5>
      <a:accent6>
        <a:srgbClr val="B523B4"/>
      </a:accent6>
      <a:hlink>
        <a:srgbClr val="FFDE26"/>
      </a:hlink>
      <a:folHlink>
        <a:srgbClr val="DEB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59"/>
  <sheetViews>
    <sheetView tabSelected="1" zoomScale="80" zoomScaleNormal="80" zoomScaleSheetLayoutView="68" zoomScalePageLayoutView="85" workbookViewId="0">
      <selection activeCell="E6" sqref="E6"/>
    </sheetView>
  </sheetViews>
  <sheetFormatPr defaultColWidth="8.85546875" defaultRowHeight="15" x14ac:dyDescent="0.25"/>
  <cols>
    <col min="2" max="2" width="26" style="1" customWidth="1"/>
    <col min="3" max="3" width="73.7109375" style="1" customWidth="1"/>
    <col min="4" max="4" width="2.7109375" style="3" customWidth="1"/>
    <col min="5" max="5" width="36.140625" customWidth="1"/>
    <col min="6" max="6" width="18.7109375" customWidth="1"/>
    <col min="7" max="7" width="12.7109375" customWidth="1"/>
    <col min="8" max="8" width="13.140625" customWidth="1"/>
    <col min="9" max="9" width="20.5703125" style="17" customWidth="1"/>
    <col min="10" max="10" width="22" style="17" bestFit="1" customWidth="1"/>
    <col min="11" max="11" width="22.140625" style="17" bestFit="1" customWidth="1"/>
    <col min="12" max="12" width="56" customWidth="1"/>
    <col min="13" max="13" width="8.140625" bestFit="1" customWidth="1"/>
    <col min="14" max="14" width="6.5703125" bestFit="1" customWidth="1"/>
    <col min="15" max="15" width="6.5703125" customWidth="1"/>
    <col min="16" max="16" width="13.140625" customWidth="1"/>
    <col min="17" max="17" width="7.42578125" bestFit="1" customWidth="1"/>
    <col min="18" max="18" width="6.7109375" customWidth="1"/>
    <col min="19" max="19" width="9.140625" bestFit="1" customWidth="1"/>
    <col min="20" max="20" width="9.85546875" style="106" bestFit="1" customWidth="1"/>
    <col min="21" max="21" width="21.140625" customWidth="1"/>
    <col min="22" max="22" width="13.85546875" customWidth="1"/>
    <col min="23" max="23" width="7.28515625" bestFit="1" customWidth="1"/>
    <col min="24" max="24" width="6.5703125" bestFit="1" customWidth="1"/>
    <col min="25" max="25" width="6.7109375" customWidth="1"/>
    <col min="26" max="26" width="14.140625" customWidth="1"/>
    <col min="27" max="27" width="7.42578125" bestFit="1" customWidth="1"/>
    <col min="28" max="28" width="6.7109375" bestFit="1" customWidth="1"/>
    <col min="29" max="29" width="9.140625" bestFit="1" customWidth="1"/>
    <col min="30" max="30" width="7.42578125" bestFit="1" customWidth="1"/>
    <col min="31" max="31" width="18.140625" customWidth="1"/>
    <col min="32" max="32" width="13.85546875" customWidth="1"/>
    <col min="33" max="33" width="13" bestFit="1" customWidth="1"/>
  </cols>
  <sheetData>
    <row r="1" spans="1:34" ht="31.5" x14ac:dyDescent="0.5">
      <c r="A1" s="170" t="s">
        <v>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34" ht="18" thickBot="1" x14ac:dyDescent="0.3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34" ht="15.75" thickBot="1" x14ac:dyDescent="0.3">
      <c r="A3" s="183" t="s">
        <v>0</v>
      </c>
      <c r="B3" s="185" t="s">
        <v>1</v>
      </c>
      <c r="C3" s="187" t="s">
        <v>27</v>
      </c>
      <c r="D3" s="25"/>
      <c r="E3" s="26"/>
      <c r="F3" s="26"/>
      <c r="G3" s="26"/>
      <c r="H3" s="65"/>
      <c r="I3" s="44"/>
      <c r="J3" s="44"/>
      <c r="K3" s="63"/>
      <c r="L3" s="175"/>
      <c r="M3" s="154" t="s">
        <v>106</v>
      </c>
      <c r="N3" s="155"/>
      <c r="O3" s="155"/>
      <c r="P3" s="155"/>
      <c r="Q3" s="155"/>
      <c r="R3" s="155"/>
      <c r="S3" s="155"/>
      <c r="T3" s="155"/>
      <c r="U3" s="155"/>
      <c r="V3" s="156"/>
      <c r="W3" s="157" t="s">
        <v>110</v>
      </c>
      <c r="X3" s="157"/>
      <c r="Y3" s="157"/>
      <c r="Z3" s="157"/>
      <c r="AA3" s="157"/>
      <c r="AB3" s="157"/>
      <c r="AC3" s="157"/>
      <c r="AD3" s="157"/>
      <c r="AE3" s="157"/>
      <c r="AF3" s="157"/>
      <c r="AG3" s="4"/>
    </row>
    <row r="4" spans="1:34" ht="15.75" thickBot="1" x14ac:dyDescent="0.3">
      <c r="A4" s="184"/>
      <c r="B4" s="186"/>
      <c r="C4" s="188"/>
      <c r="D4" s="41"/>
      <c r="E4" s="42"/>
      <c r="F4" s="42" t="s">
        <v>62</v>
      </c>
      <c r="G4" s="42" t="s">
        <v>63</v>
      </c>
      <c r="H4" s="66" t="s">
        <v>64</v>
      </c>
      <c r="I4" s="45" t="s">
        <v>61</v>
      </c>
      <c r="J4" s="45" t="s">
        <v>75</v>
      </c>
      <c r="K4" s="64" t="s">
        <v>76</v>
      </c>
      <c r="L4" s="176"/>
      <c r="M4" s="191" t="s">
        <v>104</v>
      </c>
      <c r="N4" s="192"/>
      <c r="O4" s="192"/>
      <c r="P4" s="192"/>
      <c r="Q4" s="192"/>
      <c r="R4" s="192"/>
      <c r="S4" s="192"/>
      <c r="T4" s="192"/>
      <c r="U4" s="192"/>
      <c r="V4" s="193" t="s">
        <v>102</v>
      </c>
      <c r="W4" s="157" t="s">
        <v>104</v>
      </c>
      <c r="X4" s="157"/>
      <c r="Y4" s="157"/>
      <c r="Z4" s="157"/>
      <c r="AA4" s="157"/>
      <c r="AB4" s="157"/>
      <c r="AC4" s="157"/>
      <c r="AD4" s="157"/>
      <c r="AE4" s="157"/>
      <c r="AF4" s="180" t="s">
        <v>102</v>
      </c>
    </row>
    <row r="5" spans="1:34" ht="45.75" thickBot="1" x14ac:dyDescent="0.3">
      <c r="A5" s="109"/>
      <c r="B5" s="110"/>
      <c r="C5" s="111"/>
      <c r="D5" s="112"/>
      <c r="E5" s="113"/>
      <c r="F5" s="113"/>
      <c r="G5" s="113"/>
      <c r="H5" s="114"/>
      <c r="I5" s="115"/>
      <c r="J5" s="115"/>
      <c r="K5" s="116"/>
      <c r="L5" s="117"/>
      <c r="M5" s="141" t="s">
        <v>105</v>
      </c>
      <c r="N5" s="142" t="s">
        <v>96</v>
      </c>
      <c r="O5" s="142" t="s">
        <v>97</v>
      </c>
      <c r="P5" s="143" t="s">
        <v>98</v>
      </c>
      <c r="Q5" s="143" t="s">
        <v>115</v>
      </c>
      <c r="R5" s="143" t="s">
        <v>103</v>
      </c>
      <c r="S5" s="143" t="s">
        <v>99</v>
      </c>
      <c r="T5" s="144" t="s">
        <v>100</v>
      </c>
      <c r="U5" s="143" t="s">
        <v>101</v>
      </c>
      <c r="V5" s="193"/>
      <c r="W5" s="120" t="s">
        <v>105</v>
      </c>
      <c r="X5" s="120" t="s">
        <v>96</v>
      </c>
      <c r="Y5" s="120" t="s">
        <v>97</v>
      </c>
      <c r="Z5" s="96" t="s">
        <v>98</v>
      </c>
      <c r="AA5" s="96" t="s">
        <v>115</v>
      </c>
      <c r="AB5" s="96" t="s">
        <v>103</v>
      </c>
      <c r="AC5" s="96" t="s">
        <v>99</v>
      </c>
      <c r="AD5" s="96" t="s">
        <v>100</v>
      </c>
      <c r="AE5" s="96" t="s">
        <v>101</v>
      </c>
      <c r="AF5" s="182"/>
    </row>
    <row r="6" spans="1:34" ht="45" x14ac:dyDescent="0.25">
      <c r="A6" s="180">
        <v>1</v>
      </c>
      <c r="B6" s="177" t="s">
        <v>2</v>
      </c>
      <c r="C6" s="174" t="s">
        <v>28</v>
      </c>
      <c r="D6" s="34"/>
      <c r="E6" s="35" t="s">
        <v>13</v>
      </c>
      <c r="F6" s="35" t="s">
        <v>65</v>
      </c>
      <c r="G6" s="40">
        <f>960*4</f>
        <v>3840</v>
      </c>
      <c r="H6" s="67">
        <v>168</v>
      </c>
      <c r="I6" s="46">
        <f>G6*H6</f>
        <v>645120</v>
      </c>
      <c r="J6" s="46">
        <v>387072</v>
      </c>
      <c r="K6" s="46">
        <v>258048</v>
      </c>
      <c r="L6" s="55" t="s">
        <v>35</v>
      </c>
      <c r="M6" s="129">
        <v>1</v>
      </c>
      <c r="N6" s="125">
        <v>30079</v>
      </c>
      <c r="O6" s="126">
        <v>10159</v>
      </c>
      <c r="P6" s="126">
        <v>1981</v>
      </c>
      <c r="Q6" s="126" t="s">
        <v>108</v>
      </c>
      <c r="R6" s="126" t="s">
        <v>107</v>
      </c>
      <c r="S6" s="126" t="s">
        <v>109</v>
      </c>
      <c r="T6" s="126">
        <v>71400</v>
      </c>
      <c r="U6" s="137" t="s">
        <v>111</v>
      </c>
      <c r="V6" s="145">
        <f>(J6*50%)-V7</f>
        <v>192761.856</v>
      </c>
      <c r="W6" s="121">
        <v>1</v>
      </c>
      <c r="X6" s="122">
        <v>30079</v>
      </c>
      <c r="Y6" s="123">
        <v>10159</v>
      </c>
      <c r="Z6" s="123">
        <v>1981</v>
      </c>
      <c r="AA6" s="123" t="s">
        <v>108</v>
      </c>
      <c r="AB6" s="123" t="s">
        <v>107</v>
      </c>
      <c r="AC6" s="123" t="s">
        <v>109</v>
      </c>
      <c r="AD6" s="123">
        <v>71400</v>
      </c>
      <c r="AE6" s="124" t="s">
        <v>111</v>
      </c>
      <c r="AF6" s="150">
        <f>(K6/2)-((K6/2)*0.004)</f>
        <v>128507.90399999999</v>
      </c>
    </row>
    <row r="7" spans="1:34" ht="46.5" customHeight="1" x14ac:dyDescent="0.25">
      <c r="A7" s="181"/>
      <c r="B7" s="178"/>
      <c r="C7" s="165"/>
      <c r="D7" s="21"/>
      <c r="E7" s="22" t="s">
        <v>11</v>
      </c>
      <c r="F7" s="22" t="s">
        <v>66</v>
      </c>
      <c r="G7" s="23">
        <v>960</v>
      </c>
      <c r="H7" s="68">
        <v>269</v>
      </c>
      <c r="I7" s="47">
        <f>G7*H7</f>
        <v>258240</v>
      </c>
      <c r="J7" s="47">
        <v>154944</v>
      </c>
      <c r="K7" s="47">
        <v>103296</v>
      </c>
      <c r="L7" s="56" t="s">
        <v>36</v>
      </c>
      <c r="M7" s="129"/>
      <c r="N7" s="125">
        <v>30079</v>
      </c>
      <c r="O7" s="126">
        <v>10159</v>
      </c>
      <c r="P7" s="126">
        <v>1981</v>
      </c>
      <c r="Q7" s="126" t="s">
        <v>108</v>
      </c>
      <c r="R7" s="126" t="s">
        <v>107</v>
      </c>
      <c r="S7" s="126" t="s">
        <v>109</v>
      </c>
      <c r="T7" s="126">
        <v>72100</v>
      </c>
      <c r="U7" s="137" t="s">
        <v>112</v>
      </c>
      <c r="V7" s="138">
        <f>0.004*193536</f>
        <v>774.14400000000001</v>
      </c>
      <c r="W7" s="128"/>
      <c r="X7" s="125">
        <v>30079</v>
      </c>
      <c r="Y7" s="126">
        <v>10159</v>
      </c>
      <c r="Z7" s="126">
        <v>1981</v>
      </c>
      <c r="AA7" s="126" t="s">
        <v>108</v>
      </c>
      <c r="AB7" s="126" t="s">
        <v>107</v>
      </c>
      <c r="AC7" s="126" t="s">
        <v>109</v>
      </c>
      <c r="AD7" s="126">
        <v>72100</v>
      </c>
      <c r="AE7" s="127" t="s">
        <v>112</v>
      </c>
      <c r="AF7" s="151">
        <f>(K6*50%)*0.004</f>
        <v>516.096</v>
      </c>
    </row>
    <row r="8" spans="1:34" ht="15.75" thickBot="1" x14ac:dyDescent="0.3">
      <c r="A8" s="182"/>
      <c r="B8" s="179"/>
      <c r="C8" s="29" t="s">
        <v>59</v>
      </c>
      <c r="D8" s="15"/>
      <c r="E8" s="16"/>
      <c r="F8" s="16"/>
      <c r="G8" s="43"/>
      <c r="H8" s="69"/>
      <c r="I8" s="48">
        <f>SUM(I6:I7)</f>
        <v>903360</v>
      </c>
      <c r="J8" s="48">
        <v>542016</v>
      </c>
      <c r="K8" s="48">
        <v>361344</v>
      </c>
      <c r="L8" s="57"/>
      <c r="M8" s="129"/>
      <c r="N8" s="125">
        <v>30079</v>
      </c>
      <c r="O8" s="126">
        <v>10159</v>
      </c>
      <c r="P8" s="119">
        <v>1981</v>
      </c>
      <c r="Q8" s="119" t="s">
        <v>108</v>
      </c>
      <c r="R8" s="119" t="s">
        <v>107</v>
      </c>
      <c r="S8" s="126" t="s">
        <v>109</v>
      </c>
      <c r="T8" s="119">
        <v>72600</v>
      </c>
      <c r="U8" s="137" t="s">
        <v>113</v>
      </c>
      <c r="V8" s="139">
        <v>193536</v>
      </c>
      <c r="W8" s="128"/>
      <c r="X8" s="125">
        <v>30079</v>
      </c>
      <c r="Y8" s="126">
        <v>10159</v>
      </c>
      <c r="Z8" s="126">
        <v>1981</v>
      </c>
      <c r="AA8" s="126" t="s">
        <v>108</v>
      </c>
      <c r="AB8" s="126" t="s">
        <v>107</v>
      </c>
      <c r="AC8" s="126" t="s">
        <v>109</v>
      </c>
      <c r="AD8" s="126">
        <v>72600</v>
      </c>
      <c r="AE8" s="127" t="s">
        <v>113</v>
      </c>
      <c r="AF8" s="151">
        <f>K6/2</f>
        <v>129024</v>
      </c>
    </row>
    <row r="9" spans="1:34" x14ac:dyDescent="0.25">
      <c r="A9" s="180">
        <v>2</v>
      </c>
      <c r="B9" s="177" t="s">
        <v>3</v>
      </c>
      <c r="C9" s="164" t="s">
        <v>29</v>
      </c>
      <c r="D9" s="34"/>
      <c r="E9" s="35" t="s">
        <v>14</v>
      </c>
      <c r="F9" s="35" t="s">
        <v>67</v>
      </c>
      <c r="G9" s="40">
        <f>800</f>
        <v>800</v>
      </c>
      <c r="H9" s="70">
        <v>500</v>
      </c>
      <c r="I9" s="46">
        <f>G9*H9</f>
        <v>400000</v>
      </c>
      <c r="J9" s="46">
        <v>240000</v>
      </c>
      <c r="K9" s="46">
        <v>160000</v>
      </c>
      <c r="L9" s="55" t="s">
        <v>37</v>
      </c>
      <c r="M9" s="129"/>
      <c r="N9" s="125">
        <v>30079</v>
      </c>
      <c r="O9" s="126">
        <v>10159</v>
      </c>
      <c r="P9" s="126">
        <v>1981</v>
      </c>
      <c r="Q9" s="126" t="s">
        <v>108</v>
      </c>
      <c r="R9" s="126" t="s">
        <v>107</v>
      </c>
      <c r="S9" s="126" t="s">
        <v>109</v>
      </c>
      <c r="T9" s="126">
        <v>75100</v>
      </c>
      <c r="U9" s="137" t="s">
        <v>114</v>
      </c>
      <c r="V9" s="138">
        <f>SUM(V6:V8)*7%</f>
        <v>27095.040000000001</v>
      </c>
      <c r="W9" s="128"/>
      <c r="X9" s="125">
        <v>30079</v>
      </c>
      <c r="Y9" s="126">
        <v>10159</v>
      </c>
      <c r="Z9" s="126">
        <v>1981</v>
      </c>
      <c r="AA9" s="126" t="s">
        <v>108</v>
      </c>
      <c r="AB9" s="126" t="s">
        <v>107</v>
      </c>
      <c r="AC9" s="126" t="s">
        <v>109</v>
      </c>
      <c r="AD9" s="126">
        <v>75100</v>
      </c>
      <c r="AE9" s="127" t="s">
        <v>114</v>
      </c>
      <c r="AF9" s="151">
        <f>SUM(AF6:AF8)*7%</f>
        <v>18063.36</v>
      </c>
    </row>
    <row r="10" spans="1:34" ht="60" customHeight="1" x14ac:dyDescent="0.25">
      <c r="A10" s="181"/>
      <c r="B10" s="178"/>
      <c r="C10" s="165"/>
      <c r="D10" s="21"/>
      <c r="E10" s="22" t="s">
        <v>39</v>
      </c>
      <c r="F10" s="22" t="s">
        <v>66</v>
      </c>
      <c r="G10" s="23">
        <v>1000</v>
      </c>
      <c r="H10" s="68">
        <v>500</v>
      </c>
      <c r="I10" s="50">
        <f>G10*H10</f>
        <v>500000</v>
      </c>
      <c r="J10" s="47">
        <v>300000</v>
      </c>
      <c r="K10" s="47">
        <v>200000</v>
      </c>
      <c r="L10" s="56" t="s">
        <v>40</v>
      </c>
      <c r="N10" s="169" t="s">
        <v>117</v>
      </c>
      <c r="O10" s="169"/>
      <c r="P10" s="169"/>
      <c r="Q10" s="169"/>
      <c r="R10" s="169"/>
      <c r="S10" s="169"/>
      <c r="T10" s="169"/>
      <c r="U10" s="169"/>
      <c r="V10" s="146">
        <f>SUM(V6:V9)</f>
        <v>414167.03999999998</v>
      </c>
      <c r="W10" s="128"/>
      <c r="X10" s="194" t="s">
        <v>117</v>
      </c>
      <c r="Y10" s="195"/>
      <c r="Z10" s="195"/>
      <c r="AA10" s="195"/>
      <c r="AB10" s="195"/>
      <c r="AC10" s="195"/>
      <c r="AD10" s="195"/>
      <c r="AE10" s="196"/>
      <c r="AF10" s="151">
        <f>SUM(AF6:AF9)</f>
        <v>276111.35999999999</v>
      </c>
    </row>
    <row r="11" spans="1:34" ht="15.75" thickBot="1" x14ac:dyDescent="0.3">
      <c r="A11" s="182"/>
      <c r="B11" s="179"/>
      <c r="C11" s="29" t="s">
        <v>59</v>
      </c>
      <c r="D11" s="15"/>
      <c r="E11" s="16"/>
      <c r="F11" s="16"/>
      <c r="G11" s="43"/>
      <c r="H11" s="69"/>
      <c r="I11" s="48">
        <f>SUM(I9:I10)</f>
        <v>900000</v>
      </c>
      <c r="J11" s="48">
        <v>540000</v>
      </c>
      <c r="K11" s="48">
        <v>360000</v>
      </c>
      <c r="L11" s="57"/>
      <c r="N11">
        <v>30079</v>
      </c>
      <c r="O11">
        <v>10159</v>
      </c>
      <c r="P11">
        <v>1981</v>
      </c>
      <c r="Q11" t="s">
        <v>108</v>
      </c>
      <c r="R11" t="s">
        <v>107</v>
      </c>
      <c r="S11" t="s">
        <v>118</v>
      </c>
      <c r="T11" s="106">
        <v>72300</v>
      </c>
      <c r="V11" s="135">
        <f>J7</f>
        <v>154944</v>
      </c>
      <c r="W11" s="128"/>
      <c r="X11" s="125">
        <v>30079</v>
      </c>
      <c r="Y11" s="126">
        <v>10159</v>
      </c>
      <c r="Z11" s="126">
        <v>1981</v>
      </c>
      <c r="AA11" s="126" t="s">
        <v>108</v>
      </c>
      <c r="AB11" s="126" t="s">
        <v>107</v>
      </c>
      <c r="AC11" s="126" t="s">
        <v>118</v>
      </c>
      <c r="AD11" s="126">
        <v>72300</v>
      </c>
      <c r="AE11" s="127"/>
      <c r="AF11" s="151">
        <f>K7</f>
        <v>103296</v>
      </c>
    </row>
    <row r="12" spans="1:34" ht="30" x14ac:dyDescent="0.25">
      <c r="A12" s="158">
        <v>3</v>
      </c>
      <c r="B12" s="166" t="s">
        <v>4</v>
      </c>
      <c r="C12" s="164" t="s">
        <v>30</v>
      </c>
      <c r="D12" s="34"/>
      <c r="E12" s="35" t="s">
        <v>38</v>
      </c>
      <c r="F12" s="35" t="s">
        <v>65</v>
      </c>
      <c r="G12" s="40">
        <f>700*4</f>
        <v>2800</v>
      </c>
      <c r="H12" s="67">
        <v>168</v>
      </c>
      <c r="I12" s="49">
        <f>G12*H12</f>
        <v>470400</v>
      </c>
      <c r="J12" s="49">
        <v>282240</v>
      </c>
      <c r="K12" s="49">
        <v>188160</v>
      </c>
      <c r="L12" s="55" t="s">
        <v>35</v>
      </c>
      <c r="M12" s="129"/>
      <c r="N12" s="125">
        <v>30079</v>
      </c>
      <c r="O12" s="126">
        <v>10159</v>
      </c>
      <c r="P12" s="126">
        <v>1981</v>
      </c>
      <c r="Q12" s="126" t="s">
        <v>108</v>
      </c>
      <c r="R12" s="126" t="s">
        <v>107</v>
      </c>
      <c r="S12" s="126" t="s">
        <v>118</v>
      </c>
      <c r="T12" s="126">
        <v>75100</v>
      </c>
      <c r="U12" s="127" t="s">
        <v>114</v>
      </c>
      <c r="V12" s="135">
        <f>J7*0.07</f>
        <v>10846.080000000002</v>
      </c>
      <c r="W12" s="128"/>
      <c r="X12" s="125">
        <v>30079</v>
      </c>
      <c r="Y12" s="126">
        <v>10159</v>
      </c>
      <c r="Z12" s="126">
        <v>1981</v>
      </c>
      <c r="AA12" s="126" t="s">
        <v>108</v>
      </c>
      <c r="AB12" s="126" t="s">
        <v>107</v>
      </c>
      <c r="AC12" s="126" t="s">
        <v>118</v>
      </c>
      <c r="AD12" s="126">
        <v>75100</v>
      </c>
      <c r="AE12" s="127" t="s">
        <v>114</v>
      </c>
      <c r="AF12" s="151">
        <f>AF11*7%</f>
        <v>7230.72</v>
      </c>
    </row>
    <row r="13" spans="1:34" ht="60" customHeight="1" x14ac:dyDescent="0.25">
      <c r="A13" s="159"/>
      <c r="B13" s="167"/>
      <c r="C13" s="165"/>
      <c r="D13" s="21"/>
      <c r="E13" s="22" t="s">
        <v>15</v>
      </c>
      <c r="F13" s="22" t="s">
        <v>66</v>
      </c>
      <c r="G13" s="24">
        <v>700</v>
      </c>
      <c r="H13" s="68">
        <v>250</v>
      </c>
      <c r="I13" s="50">
        <f>G13*H13</f>
        <v>175000</v>
      </c>
      <c r="J13" s="50">
        <v>105000</v>
      </c>
      <c r="K13" s="50">
        <v>70000</v>
      </c>
      <c r="L13" s="56" t="s">
        <v>41</v>
      </c>
      <c r="M13" s="129"/>
      <c r="N13" s="194" t="s">
        <v>119</v>
      </c>
      <c r="O13" s="195"/>
      <c r="P13" s="195"/>
      <c r="Q13" s="195"/>
      <c r="R13" s="195"/>
      <c r="S13" s="195"/>
      <c r="T13" s="195"/>
      <c r="U13" s="196"/>
      <c r="V13" s="147">
        <f>SUM(V11:V12)</f>
        <v>165790.08000000002</v>
      </c>
      <c r="W13" s="128"/>
      <c r="X13" s="194" t="s">
        <v>119</v>
      </c>
      <c r="Y13" s="195"/>
      <c r="Z13" s="195"/>
      <c r="AA13" s="195"/>
      <c r="AB13" s="195"/>
      <c r="AC13" s="195"/>
      <c r="AD13" s="195"/>
      <c r="AE13" s="196"/>
      <c r="AF13" s="153">
        <f>SUM(AF11:AF12)</f>
        <v>110526.72</v>
      </c>
    </row>
    <row r="14" spans="1:34" ht="60" customHeight="1" x14ac:dyDescent="0.25">
      <c r="A14" s="159"/>
      <c r="B14" s="167"/>
      <c r="C14" s="165"/>
      <c r="D14" s="21"/>
      <c r="E14" s="22" t="s">
        <v>16</v>
      </c>
      <c r="F14" s="22" t="s">
        <v>66</v>
      </c>
      <c r="G14" s="24">
        <v>900</v>
      </c>
      <c r="H14" s="68">
        <v>250</v>
      </c>
      <c r="I14" s="50">
        <f>G14*H14</f>
        <v>225000</v>
      </c>
      <c r="J14" s="50">
        <v>135000</v>
      </c>
      <c r="K14" s="50">
        <v>90000</v>
      </c>
      <c r="L14" s="56" t="s">
        <v>44</v>
      </c>
      <c r="M14" s="189" t="s">
        <v>116</v>
      </c>
      <c r="N14" s="190"/>
      <c r="O14" s="190"/>
      <c r="P14" s="190"/>
      <c r="Q14" s="190"/>
      <c r="R14" s="190"/>
      <c r="S14" s="190"/>
      <c r="T14" s="190"/>
      <c r="U14" s="190"/>
      <c r="V14" s="140">
        <f>V13+V10</f>
        <v>579957.12</v>
      </c>
      <c r="W14" s="197" t="s">
        <v>116</v>
      </c>
      <c r="X14" s="195"/>
      <c r="Y14" s="195"/>
      <c r="Z14" s="195"/>
      <c r="AA14" s="195"/>
      <c r="AB14" s="195"/>
      <c r="AC14" s="195"/>
      <c r="AD14" s="195"/>
      <c r="AE14" s="196"/>
      <c r="AF14" s="153">
        <f>AF13+AF10</f>
        <v>386638.07999999996</v>
      </c>
      <c r="AG14" s="148">
        <f>J8+(J8*7%)</f>
        <v>579957.12</v>
      </c>
      <c r="AH14" s="152">
        <f>K8+(K8*7%)</f>
        <v>386638.08000000002</v>
      </c>
    </row>
    <row r="15" spans="1:34" ht="15.75" thickBot="1" x14ac:dyDescent="0.3">
      <c r="A15" s="160"/>
      <c r="B15" s="168"/>
      <c r="C15" s="29" t="s">
        <v>59</v>
      </c>
      <c r="D15" s="15"/>
      <c r="E15" s="16"/>
      <c r="F15" s="16"/>
      <c r="G15" s="37"/>
      <c r="H15" s="69"/>
      <c r="I15" s="48">
        <f>SUM(I12:I14)</f>
        <v>870400</v>
      </c>
      <c r="J15" s="48">
        <v>522240</v>
      </c>
      <c r="K15" s="48">
        <v>348160</v>
      </c>
      <c r="L15" s="57"/>
      <c r="M15" s="129"/>
      <c r="N15" s="125"/>
      <c r="O15" s="126"/>
      <c r="P15" s="126"/>
      <c r="Q15" s="126"/>
      <c r="R15" s="126"/>
      <c r="S15" s="126"/>
      <c r="T15" s="126"/>
      <c r="U15" s="127"/>
      <c r="V15" s="135"/>
      <c r="W15" s="128"/>
      <c r="X15" s="125"/>
      <c r="Y15" s="126"/>
      <c r="Z15" s="126"/>
      <c r="AA15" s="126"/>
      <c r="AB15" s="126"/>
      <c r="AC15" s="126"/>
      <c r="AD15" s="126"/>
      <c r="AE15" s="127"/>
      <c r="AF15" s="135"/>
      <c r="AG15" s="149" t="b">
        <f>AG14=V14</f>
        <v>1</v>
      </c>
      <c r="AH15" s="152" t="b">
        <f>AF14=AH14</f>
        <v>1</v>
      </c>
    </row>
    <row r="16" spans="1:34" ht="45" x14ac:dyDescent="0.25">
      <c r="A16" s="158">
        <v>4</v>
      </c>
      <c r="B16" s="166" t="s">
        <v>5</v>
      </c>
      <c r="C16" s="164" t="s">
        <v>31</v>
      </c>
      <c r="D16" s="34"/>
      <c r="E16" s="35" t="s">
        <v>45</v>
      </c>
      <c r="F16" s="35" t="s">
        <v>66</v>
      </c>
      <c r="G16" s="40">
        <v>1700</v>
      </c>
      <c r="H16" s="67">
        <v>237</v>
      </c>
      <c r="I16" s="49">
        <f t="shared" ref="I16:I21" si="0">G16*H16</f>
        <v>402900</v>
      </c>
      <c r="J16" s="49">
        <v>241740</v>
      </c>
      <c r="K16" s="49">
        <v>161160</v>
      </c>
      <c r="L16" s="55" t="s">
        <v>46</v>
      </c>
      <c r="M16" s="129"/>
      <c r="N16" s="125"/>
      <c r="O16" s="126"/>
      <c r="P16" s="126"/>
      <c r="Q16" s="126"/>
      <c r="R16" s="126"/>
      <c r="S16" s="126"/>
      <c r="T16" s="126"/>
      <c r="U16" s="127"/>
      <c r="V16" s="135"/>
      <c r="W16" s="128"/>
      <c r="X16" s="125"/>
      <c r="Y16" s="126"/>
      <c r="Z16" s="126"/>
      <c r="AA16" s="126"/>
      <c r="AB16" s="126"/>
      <c r="AC16" s="126"/>
      <c r="AD16" s="126"/>
      <c r="AE16" s="127"/>
      <c r="AF16" s="135"/>
      <c r="AH16" s="118">
        <f>AH14-AF14</f>
        <v>0</v>
      </c>
    </row>
    <row r="17" spans="1:34" x14ac:dyDescent="0.25">
      <c r="A17" s="159"/>
      <c r="B17" s="167"/>
      <c r="C17" s="165"/>
      <c r="D17" s="21"/>
      <c r="E17" s="22" t="s">
        <v>12</v>
      </c>
      <c r="F17" s="22" t="s">
        <v>68</v>
      </c>
      <c r="G17" s="24">
        <v>2</v>
      </c>
      <c r="H17" s="71">
        <v>75000</v>
      </c>
      <c r="I17" s="50">
        <f t="shared" si="0"/>
        <v>150000</v>
      </c>
      <c r="J17" s="50">
        <v>90000</v>
      </c>
      <c r="K17" s="50">
        <v>60000</v>
      </c>
      <c r="L17" s="56" t="s">
        <v>42</v>
      </c>
      <c r="M17" s="129"/>
      <c r="N17" s="125"/>
      <c r="O17" s="126"/>
      <c r="P17" s="126"/>
      <c r="Q17" s="126"/>
      <c r="R17" s="126"/>
      <c r="S17" s="126"/>
      <c r="T17" s="126"/>
      <c r="U17" s="127"/>
      <c r="V17" s="135"/>
      <c r="W17" s="128"/>
      <c r="X17" s="125"/>
      <c r="Y17" s="126"/>
      <c r="Z17" s="126"/>
      <c r="AA17" s="126"/>
      <c r="AB17" s="126"/>
      <c r="AC17" s="126"/>
      <c r="AD17" s="126"/>
      <c r="AE17" s="127"/>
      <c r="AF17" s="135"/>
      <c r="AH17">
        <f>AH16/2</f>
        <v>0</v>
      </c>
    </row>
    <row r="18" spans="1:34" x14ac:dyDescent="0.25">
      <c r="A18" s="159"/>
      <c r="B18" s="167"/>
      <c r="C18" s="165"/>
      <c r="D18" s="21"/>
      <c r="E18" s="22" t="s">
        <v>17</v>
      </c>
      <c r="F18" s="22" t="s">
        <v>66</v>
      </c>
      <c r="G18" s="24">
        <v>500</v>
      </c>
      <c r="H18" s="68">
        <v>60</v>
      </c>
      <c r="I18" s="50">
        <f t="shared" si="0"/>
        <v>30000</v>
      </c>
      <c r="J18" s="50">
        <v>18000</v>
      </c>
      <c r="K18" s="50">
        <v>12000</v>
      </c>
      <c r="L18" s="56" t="s">
        <v>43</v>
      </c>
      <c r="M18" s="129"/>
      <c r="N18" s="125"/>
      <c r="O18" s="126"/>
      <c r="P18" s="126"/>
      <c r="Q18" s="126"/>
      <c r="R18" s="126"/>
      <c r="S18" s="126"/>
      <c r="T18" s="126"/>
      <c r="U18" s="127"/>
      <c r="V18" s="135"/>
      <c r="W18" s="128"/>
      <c r="X18" s="125"/>
      <c r="Y18" s="126"/>
      <c r="Z18" s="126"/>
      <c r="AA18" s="126"/>
      <c r="AB18" s="126"/>
      <c r="AC18" s="126"/>
      <c r="AD18" s="126"/>
      <c r="AE18" s="127"/>
      <c r="AF18" s="135"/>
    </row>
    <row r="19" spans="1:34" ht="30" x14ac:dyDescent="0.25">
      <c r="A19" s="159"/>
      <c r="B19" s="167"/>
      <c r="C19" s="165"/>
      <c r="D19" s="21"/>
      <c r="E19" s="22" t="s">
        <v>18</v>
      </c>
      <c r="F19" s="22" t="s">
        <v>69</v>
      </c>
      <c r="G19" s="24">
        <v>2</v>
      </c>
      <c r="H19" s="68">
        <v>25000</v>
      </c>
      <c r="I19" s="50">
        <f t="shared" si="0"/>
        <v>50000</v>
      </c>
      <c r="J19" s="50">
        <v>30000</v>
      </c>
      <c r="K19" s="50">
        <v>20000</v>
      </c>
      <c r="L19" s="56" t="s">
        <v>55</v>
      </c>
      <c r="M19" s="129"/>
      <c r="N19" s="125"/>
      <c r="O19" s="126"/>
      <c r="P19" s="126"/>
      <c r="Q19" s="126"/>
      <c r="R19" s="126"/>
      <c r="S19" s="126"/>
      <c r="T19" s="126"/>
      <c r="U19" s="127"/>
      <c r="V19" s="135"/>
      <c r="W19" s="128"/>
      <c r="X19" s="125"/>
      <c r="Y19" s="126"/>
      <c r="Z19" s="126"/>
      <c r="AA19" s="126"/>
      <c r="AB19" s="126"/>
      <c r="AC19" s="126"/>
      <c r="AD19" s="126"/>
      <c r="AE19" s="127"/>
      <c r="AF19" s="135"/>
    </row>
    <row r="20" spans="1:34" ht="45" x14ac:dyDescent="0.25">
      <c r="A20" s="159"/>
      <c r="B20" s="167"/>
      <c r="C20" s="165"/>
      <c r="D20" s="21"/>
      <c r="E20" s="22" t="s">
        <v>19</v>
      </c>
      <c r="F20" s="22" t="s">
        <v>66</v>
      </c>
      <c r="G20" s="24">
        <v>150</v>
      </c>
      <c r="H20" s="68">
        <v>300</v>
      </c>
      <c r="I20" s="50">
        <f t="shared" si="0"/>
        <v>45000</v>
      </c>
      <c r="J20" s="50">
        <v>27000</v>
      </c>
      <c r="K20" s="50">
        <v>18000</v>
      </c>
      <c r="L20" s="56" t="s">
        <v>47</v>
      </c>
      <c r="M20" s="129"/>
      <c r="N20" s="125"/>
      <c r="O20" s="126"/>
      <c r="P20" s="126"/>
      <c r="Q20" s="126"/>
      <c r="R20" s="126"/>
      <c r="S20" s="126"/>
      <c r="T20" s="126"/>
      <c r="U20" s="127"/>
      <c r="V20" s="135"/>
      <c r="W20" s="128"/>
      <c r="X20" s="125"/>
      <c r="Y20" s="126"/>
      <c r="Z20" s="126"/>
      <c r="AA20" s="126"/>
      <c r="AB20" s="126"/>
      <c r="AC20" s="126"/>
      <c r="AD20" s="126"/>
      <c r="AE20" s="127"/>
      <c r="AF20" s="135"/>
    </row>
    <row r="21" spans="1:34" x14ac:dyDescent="0.25">
      <c r="A21" s="159"/>
      <c r="B21" s="167"/>
      <c r="C21" s="165"/>
      <c r="D21" s="21"/>
      <c r="E21" s="22" t="s">
        <v>20</v>
      </c>
      <c r="F21" s="22" t="s">
        <v>66</v>
      </c>
      <c r="G21" s="24">
        <v>300</v>
      </c>
      <c r="H21" s="68">
        <v>250</v>
      </c>
      <c r="I21" s="50">
        <f t="shared" si="0"/>
        <v>75000</v>
      </c>
      <c r="J21" s="50">
        <v>45000</v>
      </c>
      <c r="K21" s="50">
        <v>30000</v>
      </c>
      <c r="L21" s="56" t="s">
        <v>48</v>
      </c>
      <c r="M21" s="129"/>
      <c r="N21" s="125"/>
      <c r="O21" s="126"/>
      <c r="P21" s="126"/>
      <c r="Q21" s="126"/>
      <c r="R21" s="126"/>
      <c r="S21" s="126"/>
      <c r="T21" s="126"/>
      <c r="U21" s="127"/>
      <c r="V21" s="135"/>
      <c r="W21" s="128"/>
      <c r="X21" s="125"/>
      <c r="Y21" s="126"/>
      <c r="Z21" s="126"/>
      <c r="AA21" s="126"/>
      <c r="AB21" s="126"/>
      <c r="AC21" s="126"/>
      <c r="AD21" s="126"/>
      <c r="AE21" s="127"/>
      <c r="AF21" s="135"/>
    </row>
    <row r="22" spans="1:34" ht="15.75" thickBot="1" x14ac:dyDescent="0.3">
      <c r="A22" s="160"/>
      <c r="B22" s="168"/>
      <c r="C22" s="29" t="s">
        <v>59</v>
      </c>
      <c r="D22" s="15"/>
      <c r="E22" s="16"/>
      <c r="F22" s="16"/>
      <c r="G22" s="37"/>
      <c r="H22" s="69"/>
      <c r="I22" s="48">
        <f>SUM(I16:I21)</f>
        <v>752900</v>
      </c>
      <c r="J22" s="48">
        <v>451740</v>
      </c>
      <c r="K22" s="48">
        <v>301160</v>
      </c>
      <c r="L22" s="57"/>
      <c r="M22" s="129"/>
      <c r="N22" s="125"/>
      <c r="O22" s="126"/>
      <c r="P22" s="126"/>
      <c r="Q22" s="126"/>
      <c r="R22" s="126"/>
      <c r="S22" s="126"/>
      <c r="T22" s="126"/>
      <c r="U22" s="127"/>
      <c r="V22" s="135"/>
      <c r="W22" s="128"/>
      <c r="X22" s="125"/>
      <c r="Y22" s="126"/>
      <c r="Z22" s="126"/>
      <c r="AA22" s="126"/>
      <c r="AB22" s="126"/>
      <c r="AC22" s="126"/>
      <c r="AD22" s="126"/>
      <c r="AE22" s="127"/>
      <c r="AF22" s="135"/>
    </row>
    <row r="23" spans="1:34" x14ac:dyDescent="0.25">
      <c r="A23" s="158">
        <v>5</v>
      </c>
      <c r="B23" s="166" t="s">
        <v>6</v>
      </c>
      <c r="C23" s="164" t="s">
        <v>32</v>
      </c>
      <c r="D23" s="34"/>
      <c r="E23" s="35" t="s">
        <v>34</v>
      </c>
      <c r="F23" s="35" t="s">
        <v>70</v>
      </c>
      <c r="G23" s="36">
        <v>70</v>
      </c>
      <c r="H23" s="70">
        <v>1429</v>
      </c>
      <c r="I23" s="49">
        <f>G23*H23</f>
        <v>100030</v>
      </c>
      <c r="J23" s="49">
        <v>60018</v>
      </c>
      <c r="K23" s="49">
        <v>40012</v>
      </c>
      <c r="L23" s="55" t="s">
        <v>49</v>
      </c>
      <c r="M23" s="129"/>
      <c r="N23" s="125"/>
      <c r="O23" s="126"/>
      <c r="P23" s="126"/>
      <c r="Q23" s="126"/>
      <c r="R23" s="126"/>
      <c r="S23" s="126"/>
      <c r="T23" s="126"/>
      <c r="U23" s="127"/>
      <c r="V23" s="135"/>
      <c r="W23" s="128"/>
      <c r="X23" s="125"/>
      <c r="Y23" s="126"/>
      <c r="Z23" s="126"/>
      <c r="AA23" s="126"/>
      <c r="AB23" s="126"/>
      <c r="AC23" s="126"/>
      <c r="AD23" s="126"/>
      <c r="AE23" s="127"/>
      <c r="AF23" s="135"/>
    </row>
    <row r="24" spans="1:34" x14ac:dyDescent="0.25">
      <c r="A24" s="159"/>
      <c r="B24" s="167"/>
      <c r="C24" s="165"/>
      <c r="D24" s="21"/>
      <c r="E24" s="22" t="s">
        <v>50</v>
      </c>
      <c r="F24" s="22" t="s">
        <v>70</v>
      </c>
      <c r="G24" s="24">
        <v>25</v>
      </c>
      <c r="H24" s="71">
        <v>10000</v>
      </c>
      <c r="I24" s="50">
        <f>G24*H24</f>
        <v>250000</v>
      </c>
      <c r="J24" s="50">
        <v>150000</v>
      </c>
      <c r="K24" s="50">
        <v>100000</v>
      </c>
      <c r="L24" s="56" t="s">
        <v>51</v>
      </c>
      <c r="M24" s="129"/>
      <c r="N24" s="125"/>
      <c r="O24" s="126"/>
      <c r="P24" s="126"/>
      <c r="Q24" s="126"/>
      <c r="R24" s="126"/>
      <c r="S24" s="126"/>
      <c r="T24" s="126"/>
      <c r="U24" s="127"/>
      <c r="V24" s="135"/>
      <c r="W24" s="128"/>
      <c r="X24" s="125"/>
      <c r="Y24" s="126"/>
      <c r="Z24" s="126"/>
      <c r="AA24" s="126"/>
      <c r="AB24" s="126"/>
      <c r="AC24" s="126"/>
      <c r="AD24" s="126"/>
      <c r="AE24" s="127"/>
      <c r="AF24" s="135"/>
    </row>
    <row r="25" spans="1:34" ht="45" x14ac:dyDescent="0.25">
      <c r="A25" s="159"/>
      <c r="B25" s="167"/>
      <c r="C25" s="165"/>
      <c r="D25" s="21"/>
      <c r="E25" s="22" t="s">
        <v>52</v>
      </c>
      <c r="F25" s="22" t="s">
        <v>71</v>
      </c>
      <c r="G25" s="24">
        <v>4</v>
      </c>
      <c r="H25" s="71">
        <v>75000</v>
      </c>
      <c r="I25" s="50">
        <f>H25*G25</f>
        <v>300000</v>
      </c>
      <c r="J25" s="50">
        <v>180000</v>
      </c>
      <c r="K25" s="50">
        <v>120000</v>
      </c>
      <c r="L25" s="56" t="s">
        <v>53</v>
      </c>
      <c r="M25" s="129"/>
      <c r="N25" s="125"/>
      <c r="O25" s="126"/>
      <c r="P25" s="126"/>
      <c r="Q25" s="126"/>
      <c r="R25" s="126"/>
      <c r="S25" s="126"/>
      <c r="T25" s="126"/>
      <c r="U25" s="127"/>
      <c r="V25" s="135"/>
      <c r="W25" s="128"/>
      <c r="X25" s="125"/>
      <c r="Y25" s="126"/>
      <c r="Z25" s="126"/>
      <c r="AA25" s="126"/>
      <c r="AB25" s="126"/>
      <c r="AC25" s="126"/>
      <c r="AD25" s="126"/>
      <c r="AE25" s="127"/>
      <c r="AF25" s="135"/>
    </row>
    <row r="26" spans="1:34" ht="15.75" thickBot="1" x14ac:dyDescent="0.3">
      <c r="A26" s="160"/>
      <c r="B26" s="168"/>
      <c r="C26" s="29" t="s">
        <v>59</v>
      </c>
      <c r="D26" s="38"/>
      <c r="E26" s="38"/>
      <c r="F26" s="38"/>
      <c r="G26" s="39"/>
      <c r="H26" s="72"/>
      <c r="I26" s="48">
        <f>SUM(I23:I25)</f>
        <v>650030</v>
      </c>
      <c r="J26" s="48">
        <v>390018</v>
      </c>
      <c r="K26" s="48">
        <v>260012</v>
      </c>
      <c r="L26" s="58"/>
      <c r="M26" s="129"/>
      <c r="N26" s="125"/>
      <c r="O26" s="126"/>
      <c r="P26" s="126"/>
      <c r="Q26" s="126"/>
      <c r="R26" s="126"/>
      <c r="S26" s="126"/>
      <c r="T26" s="126"/>
      <c r="U26" s="127"/>
      <c r="V26" s="135"/>
      <c r="W26" s="128"/>
      <c r="X26" s="125"/>
      <c r="Y26" s="126"/>
      <c r="Z26" s="126"/>
      <c r="AA26" s="126"/>
      <c r="AB26" s="126"/>
      <c r="AC26" s="126"/>
      <c r="AD26" s="126"/>
      <c r="AE26" s="127"/>
      <c r="AF26" s="135"/>
    </row>
    <row r="27" spans="1:34" ht="30.75" thickBot="1" x14ac:dyDescent="0.3">
      <c r="A27" s="158">
        <v>6</v>
      </c>
      <c r="B27" s="166" t="s">
        <v>7</v>
      </c>
      <c r="C27" s="164" t="s">
        <v>58</v>
      </c>
      <c r="D27" s="34"/>
      <c r="E27" s="35" t="s">
        <v>21</v>
      </c>
      <c r="F27" s="35" t="s">
        <v>65</v>
      </c>
      <c r="G27" s="36">
        <f>24*7</f>
        <v>168</v>
      </c>
      <c r="H27" s="70">
        <v>4688</v>
      </c>
      <c r="I27" s="49">
        <f>G27*H27</f>
        <v>787584</v>
      </c>
      <c r="J27" s="49">
        <v>472550.39999999997</v>
      </c>
      <c r="K27" s="49">
        <v>315033.60000000003</v>
      </c>
      <c r="L27" s="55" t="s">
        <v>54</v>
      </c>
      <c r="M27" s="130"/>
      <c r="N27" s="131"/>
      <c r="O27" s="132"/>
      <c r="P27" s="132"/>
      <c r="Q27" s="132"/>
      <c r="R27" s="132"/>
      <c r="S27" s="132"/>
      <c r="T27" s="132"/>
      <c r="U27" s="133"/>
      <c r="V27" s="136"/>
      <c r="W27" s="128"/>
      <c r="X27" s="125"/>
      <c r="Y27" s="126"/>
      <c r="Z27" s="126"/>
      <c r="AA27" s="126"/>
      <c r="AB27" s="126"/>
      <c r="AC27" s="126"/>
      <c r="AD27" s="126"/>
      <c r="AE27" s="127"/>
      <c r="AF27" s="135"/>
    </row>
    <row r="28" spans="1:34" ht="30" x14ac:dyDescent="0.25">
      <c r="A28" s="159"/>
      <c r="B28" s="167"/>
      <c r="C28" s="165"/>
      <c r="D28" s="21"/>
      <c r="E28" s="22" t="s">
        <v>22</v>
      </c>
      <c r="F28" s="22" t="s">
        <v>65</v>
      </c>
      <c r="G28" s="24">
        <f>24*4</f>
        <v>96</v>
      </c>
      <c r="H28" s="68">
        <v>1211</v>
      </c>
      <c r="I28" s="50">
        <f>G28*H28</f>
        <v>116256</v>
      </c>
      <c r="J28" s="50">
        <v>69753.599999999991</v>
      </c>
      <c r="K28" s="50">
        <v>46502.400000000001</v>
      </c>
      <c r="L28" s="56" t="s">
        <v>56</v>
      </c>
      <c r="M28" s="105">
        <f>I38*0.02</f>
        <v>111772.67080000001</v>
      </c>
      <c r="N28" s="105"/>
      <c r="W28" s="128"/>
      <c r="X28" s="125"/>
      <c r="Y28" s="126"/>
      <c r="Z28" s="126"/>
      <c r="AA28" s="126"/>
      <c r="AB28" s="126"/>
      <c r="AC28" s="126"/>
      <c r="AD28" s="126"/>
      <c r="AE28" s="127"/>
      <c r="AF28" s="135"/>
    </row>
    <row r="29" spans="1:34" ht="15.75" thickBot="1" x14ac:dyDescent="0.3">
      <c r="A29" s="160"/>
      <c r="B29" s="168"/>
      <c r="C29" s="29" t="s">
        <v>59</v>
      </c>
      <c r="D29" s="15"/>
      <c r="E29" s="16"/>
      <c r="F29" s="16"/>
      <c r="G29" s="37"/>
      <c r="H29" s="69"/>
      <c r="I29" s="48">
        <f>SUM(I27:I28)</f>
        <v>903840</v>
      </c>
      <c r="J29" s="48">
        <v>542304</v>
      </c>
      <c r="K29" s="48">
        <v>361536.00000000006</v>
      </c>
      <c r="L29" s="57"/>
      <c r="M29" s="4"/>
      <c r="N29" s="4"/>
      <c r="W29" s="134"/>
      <c r="X29" s="131"/>
      <c r="Y29" s="132"/>
      <c r="Z29" s="132"/>
      <c r="AA29" s="132"/>
      <c r="AB29" s="132"/>
      <c r="AC29" s="132"/>
      <c r="AD29" s="132"/>
      <c r="AE29" s="133"/>
      <c r="AF29" s="136"/>
    </row>
    <row r="30" spans="1:34" ht="60" x14ac:dyDescent="0.25">
      <c r="A30" s="158">
        <v>7</v>
      </c>
      <c r="B30" s="166" t="s">
        <v>23</v>
      </c>
      <c r="C30" s="164" t="s">
        <v>33</v>
      </c>
      <c r="D30" s="34"/>
      <c r="E30" s="99" t="s">
        <v>25</v>
      </c>
      <c r="F30" s="99" t="s">
        <v>72</v>
      </c>
      <c r="G30" s="100">
        <v>24</v>
      </c>
      <c r="H30" s="101">
        <v>6458</v>
      </c>
      <c r="I30" s="102">
        <f>G30*H30</f>
        <v>154992</v>
      </c>
      <c r="J30" s="102">
        <v>92995.199999999997</v>
      </c>
      <c r="K30" s="102">
        <v>61996.800000000003</v>
      </c>
      <c r="L30" s="103" t="s">
        <v>57</v>
      </c>
      <c r="M30" s="4"/>
      <c r="N30" s="4"/>
      <c r="W30" s="105">
        <f>S36*0.02</f>
        <v>0</v>
      </c>
      <c r="X30" s="105"/>
      <c r="AF30" s="118"/>
    </row>
    <row r="31" spans="1:34" x14ac:dyDescent="0.25">
      <c r="A31" s="159"/>
      <c r="B31" s="167"/>
      <c r="C31" s="165"/>
      <c r="D31" s="21"/>
      <c r="E31" s="22" t="s">
        <v>24</v>
      </c>
      <c r="F31" s="22" t="s">
        <v>73</v>
      </c>
      <c r="G31" s="24">
        <v>3</v>
      </c>
      <c r="H31" s="68">
        <v>12500</v>
      </c>
      <c r="I31" s="50">
        <f>G31*H31</f>
        <v>37500</v>
      </c>
      <c r="J31" s="50">
        <v>22500</v>
      </c>
      <c r="K31" s="50">
        <v>15000</v>
      </c>
      <c r="L31" s="59"/>
      <c r="M31" s="4"/>
      <c r="N31" s="4"/>
      <c r="O31" s="91">
        <v>0.89464999999999995</v>
      </c>
      <c r="P31" t="s">
        <v>88</v>
      </c>
      <c r="W31" s="4"/>
      <c r="X31" s="4"/>
      <c r="AF31" s="118"/>
    </row>
    <row r="32" spans="1:34" x14ac:dyDescent="0.25">
      <c r="A32" s="159"/>
      <c r="B32" s="167"/>
      <c r="C32" s="165"/>
      <c r="D32" s="21"/>
      <c r="E32" s="22" t="s">
        <v>26</v>
      </c>
      <c r="F32" s="22" t="s">
        <v>74</v>
      </c>
      <c r="G32" s="24">
        <v>1</v>
      </c>
      <c r="H32" s="68">
        <v>50000</v>
      </c>
      <c r="I32" s="50">
        <f>G32*H32</f>
        <v>50000</v>
      </c>
      <c r="J32" s="50">
        <v>30000</v>
      </c>
      <c r="K32" s="50">
        <v>20000</v>
      </c>
      <c r="L32" s="59"/>
      <c r="M32" s="4"/>
      <c r="N32" s="4"/>
      <c r="O32" s="89">
        <f>I34*O31</f>
        <v>4672776.6322999997</v>
      </c>
      <c r="P32" s="5" t="s">
        <v>91</v>
      </c>
      <c r="Q32" s="5"/>
      <c r="R32" s="5"/>
      <c r="S32" s="5"/>
      <c r="U32" s="5"/>
      <c r="V32" s="5"/>
      <c r="W32" s="4"/>
      <c r="X32" s="4"/>
      <c r="AF32" s="118"/>
    </row>
    <row r="33" spans="1:32" ht="15.75" thickBot="1" x14ac:dyDescent="0.3">
      <c r="A33" s="160"/>
      <c r="B33" s="168"/>
      <c r="C33" s="29" t="s">
        <v>59</v>
      </c>
      <c r="D33" s="15"/>
      <c r="E33" s="16"/>
      <c r="F33" s="16"/>
      <c r="G33" s="16"/>
      <c r="H33" s="69"/>
      <c r="I33" s="48">
        <f>SUM(I30:I32)</f>
        <v>242492</v>
      </c>
      <c r="J33" s="48">
        <v>145495.20000000001</v>
      </c>
      <c r="K33" s="48">
        <v>96996.800000000003</v>
      </c>
      <c r="L33" s="57"/>
      <c r="M33" s="4"/>
      <c r="N33" s="4"/>
      <c r="O33" s="89">
        <f>O32*0.07</f>
        <v>327094.36426100001</v>
      </c>
      <c r="P33" t="s">
        <v>89</v>
      </c>
      <c r="W33" s="4"/>
      <c r="X33" s="4"/>
      <c r="Y33" s="91">
        <v>0.89464999999999995</v>
      </c>
      <c r="Z33" t="s">
        <v>88</v>
      </c>
    </row>
    <row r="34" spans="1:32" ht="30.75" thickBot="1" x14ac:dyDescent="0.3">
      <c r="A34" s="96">
        <v>8</v>
      </c>
      <c r="B34" s="94" t="s">
        <v>8</v>
      </c>
      <c r="C34" s="30"/>
      <c r="D34" s="31"/>
      <c r="E34" s="32" t="s">
        <v>59</v>
      </c>
      <c r="F34" s="33"/>
      <c r="G34" s="33"/>
      <c r="H34" s="73"/>
      <c r="I34" s="51">
        <f>I33+I29+I26+I22+I15+I11+I8</f>
        <v>5223022</v>
      </c>
      <c r="J34" s="51">
        <f>J8+J11+J15+J22+J26+J29+J33</f>
        <v>3133813.2</v>
      </c>
      <c r="K34" s="51">
        <f>K8+K11+K15+K22+K26+K29+K33</f>
        <v>2089208.8</v>
      </c>
      <c r="L34" s="60"/>
      <c r="M34" s="4"/>
      <c r="N34" s="4"/>
      <c r="O34" s="5"/>
      <c r="W34" s="4"/>
      <c r="X34" s="4"/>
      <c r="Y34" s="89">
        <f>S32*Y33</f>
        <v>0</v>
      </c>
      <c r="Z34" s="5" t="s">
        <v>91</v>
      </c>
      <c r="AA34" s="5"/>
      <c r="AB34" s="5"/>
      <c r="AC34" s="5"/>
      <c r="AD34" s="5"/>
      <c r="AE34" s="5"/>
      <c r="AF34" s="5"/>
    </row>
    <row r="35" spans="1:32" ht="15.75" customHeight="1" x14ac:dyDescent="0.25">
      <c r="A35" s="158">
        <v>9</v>
      </c>
      <c r="B35" s="161" t="s">
        <v>9</v>
      </c>
      <c r="C35" s="28"/>
      <c r="D35" s="12"/>
      <c r="E35" s="13" t="s">
        <v>84</v>
      </c>
      <c r="F35" s="14"/>
      <c r="G35" s="14"/>
      <c r="H35" s="74"/>
      <c r="I35" s="52">
        <f>ROUND(O32*0.07,2)</f>
        <v>327094.36</v>
      </c>
      <c r="J35" s="52">
        <f>ROUND(I35*D44,2)</f>
        <v>196256.62</v>
      </c>
      <c r="K35" s="52">
        <f>ROUND(I35*E44,2)</f>
        <v>130837.74</v>
      </c>
      <c r="L35" s="61"/>
      <c r="M35" s="4"/>
      <c r="N35" s="4"/>
      <c r="O35" s="92">
        <f>O33+O32</f>
        <v>4999870.9965610001</v>
      </c>
      <c r="P35" t="s">
        <v>92</v>
      </c>
      <c r="W35" s="4"/>
      <c r="X35" s="4"/>
      <c r="Y35" s="89">
        <f>Y34*0.07</f>
        <v>0</v>
      </c>
      <c r="Z35" t="s">
        <v>89</v>
      </c>
    </row>
    <row r="36" spans="1:32" x14ac:dyDescent="0.25">
      <c r="A36" s="159"/>
      <c r="B36" s="162"/>
      <c r="C36" s="9"/>
      <c r="D36" s="8"/>
      <c r="E36" s="10" t="s">
        <v>85</v>
      </c>
      <c r="F36" s="11"/>
      <c r="G36" s="11"/>
      <c r="H36" s="75"/>
      <c r="I36" s="53">
        <f>(I34*0.07)-I35</f>
        <v>38517.180000000051</v>
      </c>
      <c r="J36" s="53">
        <f>(ROUND(J34*0.07,2))-J35</f>
        <v>23110.300000000017</v>
      </c>
      <c r="K36" s="53">
        <f>(ROUND(K34*0.07,2))-K35</f>
        <v>15406.87999999999</v>
      </c>
      <c r="L36" s="59"/>
      <c r="M36" s="105">
        <f>J38*0.02</f>
        <v>67063.602400000003</v>
      </c>
      <c r="N36" s="105"/>
      <c r="O36" s="89">
        <v>5000000</v>
      </c>
      <c r="P36" t="s">
        <v>90</v>
      </c>
      <c r="W36" s="4"/>
      <c r="X36" s="4"/>
      <c r="Y36" s="5"/>
    </row>
    <row r="37" spans="1:32" ht="15.75" thickBot="1" x14ac:dyDescent="0.3">
      <c r="A37" s="160"/>
      <c r="B37" s="163"/>
      <c r="C37" s="29" t="s">
        <v>59</v>
      </c>
      <c r="D37" s="15"/>
      <c r="E37" s="16"/>
      <c r="F37" s="16"/>
      <c r="G37" s="16"/>
      <c r="H37" s="69"/>
      <c r="I37" s="48">
        <f>SUM(I35:I36)</f>
        <v>365611.54000000004</v>
      </c>
      <c r="J37" s="48">
        <f>SUM(J35:J36)</f>
        <v>219366.92</v>
      </c>
      <c r="K37" s="48">
        <f>SUM(K35:K36)</f>
        <v>146244.62</v>
      </c>
      <c r="L37" s="57"/>
      <c r="O37" s="89">
        <f>O36-O35</f>
        <v>129.00343899987638</v>
      </c>
      <c r="P37" t="s">
        <v>86</v>
      </c>
      <c r="W37" s="4"/>
      <c r="X37" s="4"/>
      <c r="Y37" s="92">
        <f>Y35+Y34</f>
        <v>0</v>
      </c>
      <c r="Z37" t="s">
        <v>92</v>
      </c>
    </row>
    <row r="38" spans="1:32" s="2" customFormat="1" ht="35.25" thickBot="1" x14ac:dyDescent="0.35">
      <c r="A38" s="97">
        <v>10</v>
      </c>
      <c r="B38" s="95" t="s">
        <v>10</v>
      </c>
      <c r="C38" s="27"/>
      <c r="D38" s="76">
        <f>I34+I36</f>
        <v>5261539.18</v>
      </c>
      <c r="E38" s="77"/>
      <c r="F38" s="77"/>
      <c r="G38" s="77"/>
      <c r="H38" s="77"/>
      <c r="I38" s="54">
        <f>I37+I34</f>
        <v>5588633.54</v>
      </c>
      <c r="J38" s="54">
        <f>J37+J34</f>
        <v>3353180.12</v>
      </c>
      <c r="K38" s="54">
        <f>K37+K34</f>
        <v>2235453.42</v>
      </c>
      <c r="L38" s="62"/>
      <c r="M38"/>
      <c r="N38"/>
      <c r="O38" s="90"/>
      <c r="T38" s="107"/>
      <c r="W38" s="105">
        <f>T36*0.02</f>
        <v>0</v>
      </c>
      <c r="X38" s="105"/>
      <c r="Y38" s="89">
        <v>5000000</v>
      </c>
      <c r="Z38" t="s">
        <v>90</v>
      </c>
      <c r="AA38"/>
      <c r="AB38"/>
      <c r="AC38"/>
      <c r="AD38"/>
      <c r="AE38"/>
      <c r="AF38"/>
    </row>
    <row r="39" spans="1:32" x14ac:dyDescent="0.25">
      <c r="Y39" s="89">
        <f>Y38-Y37</f>
        <v>5000000</v>
      </c>
      <c r="Z39" t="s">
        <v>86</v>
      </c>
    </row>
    <row r="40" spans="1:32" ht="17.25" x14ac:dyDescent="0.3">
      <c r="C40" s="104"/>
      <c r="Y40" s="90"/>
      <c r="Z40" s="2"/>
      <c r="AA40" s="2"/>
      <c r="AB40" s="2"/>
      <c r="AC40" s="2"/>
      <c r="AD40" s="2"/>
      <c r="AE40" s="2"/>
      <c r="AF40" s="2"/>
    </row>
    <row r="41" spans="1:32" x14ac:dyDescent="0.25">
      <c r="C41"/>
      <c r="D41"/>
      <c r="K41" s="91">
        <f>O35/I38</f>
        <v>0.89465000000000006</v>
      </c>
      <c r="O41" s="5"/>
    </row>
    <row r="42" spans="1:32" x14ac:dyDescent="0.25">
      <c r="C42" s="17"/>
      <c r="D42" s="17"/>
      <c r="E42" s="17" t="b">
        <f>D38=K41</f>
        <v>0</v>
      </c>
      <c r="I42"/>
      <c r="J42"/>
      <c r="K42"/>
    </row>
    <row r="43" spans="1:32" x14ac:dyDescent="0.25">
      <c r="C43" s="17"/>
      <c r="D43" s="17"/>
      <c r="E43" s="17"/>
      <c r="I43"/>
      <c r="J43"/>
      <c r="K43"/>
      <c r="Y43" s="5"/>
    </row>
    <row r="44" spans="1:32" x14ac:dyDescent="0.25">
      <c r="C44" s="17"/>
      <c r="D44" s="17">
        <f>J34/I34</f>
        <v>0.60000000000000009</v>
      </c>
      <c r="E44" s="17">
        <f>K34/I34</f>
        <v>0.4</v>
      </c>
      <c r="I44"/>
      <c r="J44"/>
      <c r="K44"/>
    </row>
    <row r="45" spans="1:32" x14ac:dyDescent="0.25">
      <c r="C45" s="18"/>
      <c r="D45" s="17"/>
      <c r="E45" s="17">
        <f>K35+J35</f>
        <v>327094.36</v>
      </c>
      <c r="I45"/>
      <c r="J45"/>
      <c r="K45"/>
    </row>
    <row r="46" spans="1:32" x14ac:dyDescent="0.25">
      <c r="C46" s="17"/>
      <c r="D46" s="17"/>
      <c r="E46" s="17"/>
      <c r="I46"/>
      <c r="J46"/>
      <c r="K46"/>
    </row>
    <row r="47" spans="1:32" x14ac:dyDescent="0.25">
      <c r="C47" s="17"/>
      <c r="D47" s="17"/>
      <c r="E47" s="17"/>
      <c r="I47"/>
      <c r="J47"/>
      <c r="K47"/>
    </row>
    <row r="48" spans="1:32" x14ac:dyDescent="0.25">
      <c r="C48" s="19"/>
      <c r="D48" s="17"/>
      <c r="E48" s="17"/>
      <c r="I48"/>
      <c r="J48"/>
      <c r="K48"/>
    </row>
    <row r="49" spans="3:33" x14ac:dyDescent="0.25">
      <c r="C49" s="19"/>
      <c r="D49" s="17"/>
      <c r="E49" s="98" t="s">
        <v>95</v>
      </c>
      <c r="F49" s="88" t="s">
        <v>77</v>
      </c>
      <c r="G49" s="87" t="s">
        <v>78</v>
      </c>
      <c r="H49" s="88" t="s">
        <v>86</v>
      </c>
      <c r="I49" s="88" t="s">
        <v>87</v>
      </c>
      <c r="J49" s="88"/>
      <c r="K49"/>
    </row>
    <row r="50" spans="3:33" ht="27.75" customHeight="1" x14ac:dyDescent="0.25">
      <c r="C50" s="19"/>
      <c r="D50" s="17"/>
      <c r="E50" s="86"/>
      <c r="F50" s="87" t="s">
        <v>79</v>
      </c>
      <c r="G50" s="88" t="s">
        <v>80</v>
      </c>
      <c r="H50" s="82"/>
      <c r="I50" s="78"/>
      <c r="J50" s="78"/>
      <c r="K50"/>
    </row>
    <row r="51" spans="3:33" x14ac:dyDescent="0.25">
      <c r="C51" s="19"/>
      <c r="D51" s="17"/>
      <c r="E51" s="80" t="s">
        <v>93</v>
      </c>
      <c r="F51" s="81">
        <f>J38</f>
        <v>3353180.12</v>
      </c>
      <c r="G51" s="82">
        <f>K38</f>
        <v>2235453.42</v>
      </c>
      <c r="H51" s="81"/>
      <c r="I51" s="83">
        <f>F51+G51</f>
        <v>5588633.54</v>
      </c>
      <c r="J51" s="78" t="b">
        <f>I38=I51</f>
        <v>1</v>
      </c>
      <c r="K51"/>
      <c r="AG51" s="6"/>
    </row>
    <row r="52" spans="3:33" x14ac:dyDescent="0.25">
      <c r="C52" s="17"/>
      <c r="D52" s="17"/>
      <c r="E52" s="80" t="s">
        <v>94</v>
      </c>
      <c r="F52" s="81">
        <f>F51*K41</f>
        <v>2999922.5943580004</v>
      </c>
      <c r="G52" s="81">
        <f>G51*K41</f>
        <v>1999948.4022030002</v>
      </c>
      <c r="H52" s="81"/>
      <c r="I52" s="83">
        <f>F52+G52</f>
        <v>4999870.9965610001</v>
      </c>
      <c r="J52" s="93" t="b">
        <f>I52=O35</f>
        <v>1</v>
      </c>
      <c r="K52"/>
      <c r="AG52" s="6"/>
    </row>
    <row r="53" spans="3:33" x14ac:dyDescent="0.25">
      <c r="C53" s="17"/>
      <c r="D53" s="17"/>
      <c r="E53" s="80" t="s">
        <v>81</v>
      </c>
      <c r="F53" s="84">
        <f>ROUND(F52*0.95,2)</f>
        <v>2849926.46</v>
      </c>
      <c r="G53" s="85">
        <f>ROUND(G52*0.95,2)</f>
        <v>1899950.98</v>
      </c>
      <c r="H53" s="81"/>
      <c r="I53" s="78"/>
      <c r="J53" s="78"/>
      <c r="K53"/>
      <c r="M53" s="7"/>
      <c r="N53" s="7"/>
      <c r="O53" s="7"/>
      <c r="P53" s="7"/>
      <c r="Q53" s="7"/>
      <c r="R53" s="7"/>
      <c r="S53" s="7"/>
      <c r="T53" s="108"/>
      <c r="U53" s="7"/>
      <c r="V53" s="7"/>
      <c r="AG53" s="6"/>
    </row>
    <row r="54" spans="3:33" x14ac:dyDescent="0.25">
      <c r="C54" s="17"/>
      <c r="D54" s="20"/>
      <c r="E54" s="80" t="s">
        <v>82</v>
      </c>
      <c r="F54" s="81"/>
      <c r="G54" s="83">
        <f>ROUND(F52*0.005,2)</f>
        <v>14999.61</v>
      </c>
      <c r="H54" s="84"/>
      <c r="I54" s="78"/>
      <c r="J54" s="78"/>
      <c r="K54"/>
      <c r="M54" s="6"/>
      <c r="N54" s="6"/>
      <c r="O54" s="6"/>
      <c r="P54" s="6"/>
      <c r="Q54" s="6"/>
      <c r="R54" s="6"/>
      <c r="S54" s="6"/>
      <c r="U54" s="6"/>
      <c r="V54" s="6"/>
      <c r="AG54" s="6"/>
    </row>
    <row r="55" spans="3:33" x14ac:dyDescent="0.25">
      <c r="C55" s="17"/>
      <c r="D55" s="17"/>
      <c r="E55" s="80" t="s">
        <v>83</v>
      </c>
      <c r="F55" s="81"/>
      <c r="G55" s="84">
        <f>SUM(G53:G54)</f>
        <v>1914950.59</v>
      </c>
      <c r="H55" s="84">
        <f>ROUND((I52-F53-G55),2)</f>
        <v>234993.95</v>
      </c>
      <c r="I55" s="84">
        <f>H55+G55+F53</f>
        <v>4999871</v>
      </c>
      <c r="J55" s="84"/>
      <c r="K55" s="7"/>
      <c r="L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3:33" x14ac:dyDescent="0.25">
      <c r="C56" s="17"/>
      <c r="D56" s="17"/>
      <c r="E56" s="79"/>
      <c r="F56" s="81"/>
      <c r="G56" s="81"/>
      <c r="H56" s="78"/>
      <c r="I56" s="81"/>
      <c r="J56" s="81"/>
      <c r="K56" s="6"/>
      <c r="L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3:33" x14ac:dyDescent="0.25">
      <c r="C57" s="17"/>
      <c r="D57" s="17"/>
      <c r="E57" s="79"/>
      <c r="F57" s="78"/>
      <c r="G57" s="78"/>
      <c r="H57" s="78"/>
      <c r="I57" s="78"/>
      <c r="J57" s="78"/>
      <c r="K57"/>
    </row>
    <row r="58" spans="3:33" x14ac:dyDescent="0.25">
      <c r="C58"/>
      <c r="D58"/>
      <c r="H58" s="17"/>
      <c r="K58"/>
    </row>
    <row r="59" spans="3:33" x14ac:dyDescent="0.25">
      <c r="C59"/>
      <c r="D59"/>
      <c r="K59"/>
    </row>
  </sheetData>
  <mergeCells count="41">
    <mergeCell ref="M14:U14"/>
    <mergeCell ref="M4:U4"/>
    <mergeCell ref="W4:AE4"/>
    <mergeCell ref="AF4:AF5"/>
    <mergeCell ref="V4:V5"/>
    <mergeCell ref="N13:U13"/>
    <mergeCell ref="X10:AE10"/>
    <mergeCell ref="X13:AE13"/>
    <mergeCell ref="W14:AE14"/>
    <mergeCell ref="B16:B22"/>
    <mergeCell ref="A1:L1"/>
    <mergeCell ref="A2:L2"/>
    <mergeCell ref="C6:C7"/>
    <mergeCell ref="C9:C10"/>
    <mergeCell ref="C12:C14"/>
    <mergeCell ref="L3:L4"/>
    <mergeCell ref="B6:B8"/>
    <mergeCell ref="A6:A8"/>
    <mergeCell ref="B9:B11"/>
    <mergeCell ref="A9:A11"/>
    <mergeCell ref="A3:A4"/>
    <mergeCell ref="B3:B4"/>
    <mergeCell ref="C3:C4"/>
    <mergeCell ref="B12:B15"/>
    <mergeCell ref="A12:A15"/>
    <mergeCell ref="M3:V3"/>
    <mergeCell ref="W3:AF3"/>
    <mergeCell ref="A35:A37"/>
    <mergeCell ref="B35:B37"/>
    <mergeCell ref="C27:C28"/>
    <mergeCell ref="C30:C32"/>
    <mergeCell ref="A23:A26"/>
    <mergeCell ref="B23:B26"/>
    <mergeCell ref="A27:A29"/>
    <mergeCell ref="B27:B29"/>
    <mergeCell ref="A30:A33"/>
    <mergeCell ref="B30:B33"/>
    <mergeCell ref="C16:C21"/>
    <mergeCell ref="C23:C25"/>
    <mergeCell ref="A16:A22"/>
    <mergeCell ref="N10:U10"/>
  </mergeCells>
  <phoneticPr fontId="9" type="noConversion"/>
  <pageMargins left="0.25" right="0.25" top="0.75" bottom="0.75" header="0.3" footer="0.3"/>
  <pageSetup paperSize="9" scale="45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PublishedDate xmlns="f1161f5b-24a3-4c2d-bc81-44cb9325e8ee">2014-10-19T11:00:00+00:00</UNDPPublishedDate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>SYR</UndpOUCode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PDC_x0020_Document_x0020_Category xmlns="f1161f5b-24a3-4c2d-bc81-44cb9325e8ee">Proposal</PDC_x0020_Document_x0020_Category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_Publisher xmlns="http://schemas.microsoft.com/sharepoint/v3/fields" xsi:nil="true"/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1656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00084005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SYR</TermName>
          <TermId xmlns="http://schemas.microsoft.com/office/infopath/2007/PartnerControls">fb0956bf-c7e3-4834-a4fa-71c482a03fda</TermId>
        </TermInfo>
      </Terms>
    </gc6531b704974d528487414686b72f6f>
    <_dlc_DocId xmlns="f1161f5b-24a3-4c2d-bc81-44cb9325e8ee">ATLASPDC-4-22808</_dlc_DocId>
    <_dlc_DocIdUrl xmlns="f1161f5b-24a3-4c2d-bc81-44cb9325e8ee">
      <Url>https://info.undp.org/docs/pdc/_layouts/DocIdRedir.aspx?ID=ATLASPDC-4-22808</Url>
      <Description>ATLASPDC-4-22808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Props1.xml><?xml version="1.0" encoding="utf-8"?>
<ds:datastoreItem xmlns:ds="http://schemas.openxmlformats.org/officeDocument/2006/customXml" ds:itemID="{5CCBE1E9-DBE3-472B-93CC-87B68194BEA9}"/>
</file>

<file path=customXml/itemProps2.xml><?xml version="1.0" encoding="utf-8"?>
<ds:datastoreItem xmlns:ds="http://schemas.openxmlformats.org/officeDocument/2006/customXml" ds:itemID="{E0FEF8AE-B0F0-41A1-87BC-AE93775619F9}"/>
</file>

<file path=customXml/itemProps3.xml><?xml version="1.0" encoding="utf-8"?>
<ds:datastoreItem xmlns:ds="http://schemas.openxmlformats.org/officeDocument/2006/customXml" ds:itemID="{E597FC3A-5C69-40FE-BC7D-D1AE616E9D4A}"/>
</file>

<file path=customXml/itemProps4.xml><?xml version="1.0" encoding="utf-8"?>
<ds:datastoreItem xmlns:ds="http://schemas.openxmlformats.org/officeDocument/2006/customXml" ds:itemID="{9D7C39CA-C370-4E85-BA6A-359F5874B8DF}"/>
</file>

<file path=customXml/itemProps5.xml><?xml version="1.0" encoding="utf-8"?>
<ds:datastoreItem xmlns:ds="http://schemas.openxmlformats.org/officeDocument/2006/customXml" ds:itemID="{ACE14375-133B-437E-9E2C-F65CE50EC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Garcia</dc:creator>
  <cp:lastModifiedBy>Salwan Saif</cp:lastModifiedBy>
  <cp:lastPrinted>2013-12-16T16:48:01Z</cp:lastPrinted>
  <dcterms:created xsi:type="dcterms:W3CDTF">2013-07-23T15:04:21Z</dcterms:created>
  <dcterms:modified xsi:type="dcterms:W3CDTF">2014-10-16T12:17:52Z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_dlc_DocIdItemGuid">
    <vt:lpwstr>8f675258-f7c4-40f6-a1ba-effea0be66da</vt:lpwstr>
  </property>
  <property fmtid="{D5CDD505-2E9C-101B-9397-08002B2CF9AE}" pid="4" name="UNDPCountry">
    <vt:lpwstr/>
  </property>
  <property fmtid="{D5CDD505-2E9C-101B-9397-08002B2CF9AE}" pid="5" name="Atlas_x0020_Document_x0020_Type">
    <vt:lpwstr>287;#Budget|fc549c7a-78dd-43bd-a1be-cfb989f8b34d</vt:lpwstr>
  </property>
  <property fmtid="{D5CDD505-2E9C-101B-9397-08002B2CF9AE}" pid="6" name="UndpDocTypeMM">
    <vt:lpwstr/>
  </property>
  <property fmtid="{D5CDD505-2E9C-101B-9397-08002B2CF9AE}" pid="7" name="UNDPDocumentCategory">
    <vt:lpwstr/>
  </property>
  <property fmtid="{D5CDD505-2E9C-101B-9397-08002B2CF9AE}" pid="8" name="UnitTaxHTField0">
    <vt:lpwstr/>
  </property>
  <property fmtid="{D5CDD505-2E9C-101B-9397-08002B2CF9AE}" pid="9" name="UN Languages">
    <vt:lpwstr>1;#English|7f98b732-4b5b-4b70-ba90-a0eff09b5d2d</vt:lpwstr>
  </property>
  <property fmtid="{D5CDD505-2E9C-101B-9397-08002B2CF9AE}" pid="10" name="Operating Unit0">
    <vt:lpwstr>1656;#SYR|fb0956bf-c7e3-4834-a4fa-71c482a03fda</vt:lpwstr>
  </property>
  <property fmtid="{D5CDD505-2E9C-101B-9397-08002B2CF9AE}" pid="11" name="Atlas Document Status">
    <vt:lpwstr>763;#Draft|121d40a5-e62e-4d42-82e4-d6d12003de0a</vt:lpwstr>
  </property>
  <property fmtid="{D5CDD505-2E9C-101B-9397-08002B2CF9AE}" pid="13" name="UndpUnitMM">
    <vt:lpwstr/>
  </property>
  <property fmtid="{D5CDD505-2E9C-101B-9397-08002B2CF9AE}" pid="14" name="eRegFilingCodeMM">
    <vt:lpwstr/>
  </property>
  <property fmtid="{D5CDD505-2E9C-101B-9397-08002B2CF9AE}" pid="15" name="Unit">
    <vt:lpwstr/>
  </property>
  <property fmtid="{D5CDD505-2E9C-101B-9397-08002B2CF9AE}" pid="16" name="UNDPFocusAreas">
    <vt:lpwstr/>
  </property>
  <property fmtid="{D5CDD505-2E9C-101B-9397-08002B2CF9AE}" pid="17" name="Atlas Document Type">
    <vt:lpwstr>1109;#Budget|1c1fa43a-cb36-4844-8715-9a4cc93e1ac9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